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4\MINUTA - PREGÃO - 2024\PROAD 4080-2024\"/>
    </mc:Choice>
  </mc:AlternateContent>
  <bookViews>
    <workbookView xWindow="0" yWindow="0" windowWidth="16380" windowHeight="8190" tabRatio="500" firstSheet="2" activeTab="4"/>
  </bookViews>
  <sheets>
    <sheet name="abc-servicos" sheetId="1" r:id="rId1"/>
    <sheet name="abc-insumos" sheetId="2" r:id="rId2"/>
    <sheet name="ENDEREÇOS" sheetId="3" r:id="rId3"/>
    <sheet name="LOTE 03 - SETORIAL CURITIBA" sheetId="4" r:id="rId4"/>
    <sheet name="BDI CURITIBA" sheetId="5" r:id="rId5"/>
    <sheet name="MAPA DE COTAÇÕES" sheetId="6" r:id="rId6"/>
  </sheets>
  <definedNames>
    <definedName name="_xlnm.Print_Area" localSheetId="1">'abc-insumos'!$A$1:$H$37</definedName>
    <definedName name="_xlnm.Print_Area" localSheetId="0">'abc-servicos'!$A$1:$G$26</definedName>
    <definedName name="_xlnm.Print_Area" localSheetId="2">ENDEREÇOS!$A$1:$G$21</definedName>
    <definedName name="_xlnm.Print_Area" localSheetId="3">'LOTE 03 - SETORIAL CURITIBA'!$A$1:$P$139</definedName>
    <definedName name="_xlnm.Print_Area" localSheetId="5">'MAPA DE COTAÇÕES'!$A$1:$K$11</definedName>
    <definedName name="_xlnm.Print_Titles" localSheetId="3">'LOTE 03 - SETORIAL CURITIBA'!$8:$10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6" l="1"/>
  <c r="J11" i="6" l="1"/>
  <c r="I11" i="6"/>
  <c r="K11" i="6" s="1"/>
  <c r="H10" i="6"/>
  <c r="F10" i="6"/>
  <c r="D10" i="6"/>
  <c r="J10" i="6" s="1"/>
  <c r="J9" i="6"/>
  <c r="I9" i="6"/>
  <c r="K9" i="6" s="1"/>
  <c r="H9" i="6"/>
  <c r="F9" i="6"/>
  <c r="D9" i="6"/>
  <c r="H8" i="6"/>
  <c r="F8" i="6"/>
  <c r="D8" i="6"/>
  <c r="J8" i="6" s="1"/>
  <c r="J7" i="6"/>
  <c r="I7" i="6"/>
  <c r="J6" i="6"/>
  <c r="H6" i="6"/>
  <c r="F6" i="6"/>
  <c r="D6" i="6"/>
  <c r="I6" i="6" s="1"/>
  <c r="K6" i="6" s="1"/>
  <c r="G36" i="4" s="1"/>
  <c r="I36" i="4" s="1"/>
  <c r="H5" i="6"/>
  <c r="F5" i="6"/>
  <c r="J5" i="6"/>
  <c r="C53" i="5"/>
  <c r="B53" i="5"/>
  <c r="B55" i="5" s="1"/>
  <c r="C55" i="5" s="1"/>
  <c r="A53" i="5"/>
  <c r="A54" i="5" s="1"/>
  <c r="C43" i="5"/>
  <c r="C46" i="5" s="1"/>
  <c r="B43" i="5"/>
  <c r="B46" i="5" s="1"/>
  <c r="B48" i="5" s="1"/>
  <c r="C48" i="5" s="1"/>
  <c r="A43" i="5"/>
  <c r="A46" i="5" s="1"/>
  <c r="C32" i="5"/>
  <c r="B32" i="5"/>
  <c r="B34" i="5" s="1"/>
  <c r="C34" i="5" s="1"/>
  <c r="A32" i="5"/>
  <c r="C27" i="5"/>
  <c r="B16" i="5"/>
  <c r="B15" i="5"/>
  <c r="B14" i="5"/>
  <c r="T138" i="4"/>
  <c r="S138" i="4"/>
  <c r="J138" i="4"/>
  <c r="K138" i="4" s="1"/>
  <c r="T137" i="4"/>
  <c r="S137" i="4"/>
  <c r="J137" i="4"/>
  <c r="K137" i="4" s="1"/>
  <c r="T136" i="4"/>
  <c r="S136" i="4"/>
  <c r="R136" i="4"/>
  <c r="I136" i="4"/>
  <c r="T135" i="4"/>
  <c r="S135" i="4"/>
  <c r="I135" i="4"/>
  <c r="I132" i="4" s="1"/>
  <c r="D135" i="4"/>
  <c r="T134" i="4"/>
  <c r="S134" i="4"/>
  <c r="J134" i="4"/>
  <c r="K134" i="4" s="1"/>
  <c r="T133" i="4"/>
  <c r="S133" i="4"/>
  <c r="K133" i="4"/>
  <c r="J133" i="4"/>
  <c r="U132" i="4"/>
  <c r="U133" i="4" s="1"/>
  <c r="U134" i="4" s="1"/>
  <c r="T132" i="4"/>
  <c r="S132" i="4"/>
  <c r="R132" i="4"/>
  <c r="J132" i="4"/>
  <c r="M132" i="4" s="1"/>
  <c r="T131" i="4"/>
  <c r="S131" i="4"/>
  <c r="I131" i="4"/>
  <c r="K131" i="4" s="1"/>
  <c r="D131" i="4"/>
  <c r="T130" i="4"/>
  <c r="S130" i="4"/>
  <c r="J130" i="4"/>
  <c r="K130" i="4" s="1"/>
  <c r="T129" i="4"/>
  <c r="S129" i="4"/>
  <c r="J129" i="4"/>
  <c r="K129" i="4" s="1"/>
  <c r="U128" i="4"/>
  <c r="U129" i="4" s="1"/>
  <c r="T128" i="4"/>
  <c r="S128" i="4"/>
  <c r="R128" i="4"/>
  <c r="I128" i="4"/>
  <c r="L128" i="4" s="1"/>
  <c r="T127" i="4"/>
  <c r="S127" i="4"/>
  <c r="I127" i="4"/>
  <c r="K127" i="4" s="1"/>
  <c r="D127" i="4"/>
  <c r="T126" i="4"/>
  <c r="S126" i="4"/>
  <c r="K126" i="4"/>
  <c r="J126" i="4"/>
  <c r="U125" i="4"/>
  <c r="T125" i="4"/>
  <c r="S125" i="4"/>
  <c r="J125" i="4"/>
  <c r="K125" i="4" s="1"/>
  <c r="U124" i="4"/>
  <c r="T124" i="4"/>
  <c r="S124" i="4"/>
  <c r="R124" i="4"/>
  <c r="L124" i="4"/>
  <c r="I124" i="4"/>
  <c r="T123" i="4"/>
  <c r="S123" i="4"/>
  <c r="K123" i="4"/>
  <c r="I123" i="4"/>
  <c r="I121" i="4" s="1"/>
  <c r="T122" i="4"/>
  <c r="S122" i="4"/>
  <c r="J122" i="4"/>
  <c r="K122" i="4" s="1"/>
  <c r="T121" i="4"/>
  <c r="S121" i="4"/>
  <c r="J121" i="4"/>
  <c r="U120" i="4"/>
  <c r="U121" i="4" s="1"/>
  <c r="T120" i="4"/>
  <c r="S120" i="4"/>
  <c r="R120" i="4"/>
  <c r="J120" i="4"/>
  <c r="M120" i="4" s="1"/>
  <c r="T119" i="4"/>
  <c r="S119" i="4"/>
  <c r="K119" i="4"/>
  <c r="I119" i="4"/>
  <c r="T118" i="4"/>
  <c r="S118" i="4"/>
  <c r="K118" i="4"/>
  <c r="J118" i="4"/>
  <c r="J116" i="4" s="1"/>
  <c r="M116" i="4" s="1"/>
  <c r="N116" i="4" s="1"/>
  <c r="T117" i="4"/>
  <c r="S117" i="4"/>
  <c r="K117" i="4"/>
  <c r="J117" i="4"/>
  <c r="U116" i="4"/>
  <c r="U117" i="4" s="1"/>
  <c r="T116" i="4"/>
  <c r="S116" i="4"/>
  <c r="R116" i="4"/>
  <c r="L116" i="4"/>
  <c r="I116" i="4"/>
  <c r="T115" i="4"/>
  <c r="S115" i="4"/>
  <c r="R115" i="4"/>
  <c r="T114" i="4"/>
  <c r="S114" i="4"/>
  <c r="R114" i="4"/>
  <c r="S113" i="4"/>
  <c r="R113" i="4"/>
  <c r="S112" i="4"/>
  <c r="R112" i="4"/>
  <c r="S111" i="4"/>
  <c r="R111" i="4"/>
  <c r="S110" i="4"/>
  <c r="R110" i="4"/>
  <c r="T109" i="4"/>
  <c r="S109" i="4"/>
  <c r="I109" i="4"/>
  <c r="K109" i="4" s="1"/>
  <c r="T108" i="4"/>
  <c r="S108" i="4"/>
  <c r="I108" i="4"/>
  <c r="K108" i="4" s="1"/>
  <c r="T107" i="4"/>
  <c r="S107" i="4"/>
  <c r="J107" i="4"/>
  <c r="K107" i="4" s="1"/>
  <c r="T106" i="4"/>
  <c r="S106" i="4"/>
  <c r="J106" i="4"/>
  <c r="K106" i="4" s="1"/>
  <c r="T105" i="4"/>
  <c r="S105" i="4"/>
  <c r="J105" i="4"/>
  <c r="K105" i="4" s="1"/>
  <c r="T104" i="4"/>
  <c r="S104" i="4"/>
  <c r="J104" i="4"/>
  <c r="K104" i="4" s="1"/>
  <c r="T103" i="4"/>
  <c r="S103" i="4"/>
  <c r="J103" i="4"/>
  <c r="K103" i="4" s="1"/>
  <c r="T102" i="4"/>
  <c r="S102" i="4"/>
  <c r="J102" i="4"/>
  <c r="K102" i="4" s="1"/>
  <c r="T101" i="4"/>
  <c r="S101" i="4"/>
  <c r="T100" i="4"/>
  <c r="S100" i="4"/>
  <c r="R100" i="4"/>
  <c r="T99" i="4"/>
  <c r="S99" i="4"/>
  <c r="R99" i="4"/>
  <c r="S98" i="4"/>
  <c r="R98" i="4"/>
  <c r="S97" i="4"/>
  <c r="R97" i="4"/>
  <c r="S96" i="4"/>
  <c r="R96" i="4"/>
  <c r="F96" i="4"/>
  <c r="S95" i="4"/>
  <c r="R95" i="4"/>
  <c r="T94" i="4"/>
  <c r="S94" i="4"/>
  <c r="I94" i="4"/>
  <c r="K94" i="4" s="1"/>
  <c r="T93" i="4"/>
  <c r="S93" i="4"/>
  <c r="K93" i="4"/>
  <c r="I93" i="4"/>
  <c r="T92" i="4"/>
  <c r="S92" i="4"/>
  <c r="J92" i="4"/>
  <c r="K92" i="4" s="1"/>
  <c r="T91" i="4"/>
  <c r="S91" i="4"/>
  <c r="K91" i="4"/>
  <c r="J91" i="4"/>
  <c r="T90" i="4"/>
  <c r="S90" i="4"/>
  <c r="J90" i="4"/>
  <c r="K90" i="4" s="1"/>
  <c r="T89" i="4"/>
  <c r="S89" i="4"/>
  <c r="K89" i="4"/>
  <c r="J89" i="4"/>
  <c r="T88" i="4"/>
  <c r="S88" i="4"/>
  <c r="J88" i="4"/>
  <c r="K88" i="4" s="1"/>
  <c r="T87" i="4"/>
  <c r="S87" i="4"/>
  <c r="K87" i="4"/>
  <c r="J87" i="4"/>
  <c r="T86" i="4"/>
  <c r="S86" i="4"/>
  <c r="T85" i="4"/>
  <c r="S85" i="4"/>
  <c r="R85" i="4"/>
  <c r="T84" i="4"/>
  <c r="S84" i="4"/>
  <c r="R84" i="4"/>
  <c r="S83" i="4"/>
  <c r="R83" i="4"/>
  <c r="S82" i="4"/>
  <c r="R82" i="4"/>
  <c r="S81" i="4"/>
  <c r="R81" i="4"/>
  <c r="F81" i="4"/>
  <c r="S80" i="4"/>
  <c r="R80" i="4"/>
  <c r="T79" i="4"/>
  <c r="S79" i="4"/>
  <c r="K79" i="4"/>
  <c r="I79" i="4"/>
  <c r="T78" i="4"/>
  <c r="S78" i="4"/>
  <c r="I78" i="4"/>
  <c r="K78" i="4" s="1"/>
  <c r="T77" i="4"/>
  <c r="S77" i="4"/>
  <c r="K77" i="4"/>
  <c r="J77" i="4"/>
  <c r="T76" i="4"/>
  <c r="S76" i="4"/>
  <c r="J76" i="4"/>
  <c r="K76" i="4" s="1"/>
  <c r="T75" i="4"/>
  <c r="S75" i="4"/>
  <c r="K75" i="4"/>
  <c r="J75" i="4"/>
  <c r="T74" i="4"/>
  <c r="S74" i="4"/>
  <c r="J74" i="4"/>
  <c r="K74" i="4" s="1"/>
  <c r="T73" i="4"/>
  <c r="S73" i="4"/>
  <c r="K73" i="4"/>
  <c r="J73" i="4"/>
  <c r="T72" i="4"/>
  <c r="S72" i="4"/>
  <c r="J72" i="4"/>
  <c r="K72" i="4" s="1"/>
  <c r="T71" i="4"/>
  <c r="S71" i="4"/>
  <c r="T70" i="4"/>
  <c r="S70" i="4"/>
  <c r="R70" i="4"/>
  <c r="T69" i="4"/>
  <c r="S69" i="4"/>
  <c r="R69" i="4"/>
  <c r="S68" i="4"/>
  <c r="R68" i="4"/>
  <c r="S67" i="4"/>
  <c r="R67" i="4"/>
  <c r="S66" i="4"/>
  <c r="R66" i="4"/>
  <c r="F66" i="4"/>
  <c r="S65" i="4"/>
  <c r="R65" i="4"/>
  <c r="T64" i="4"/>
  <c r="S64" i="4"/>
  <c r="K64" i="4"/>
  <c r="I64" i="4"/>
  <c r="T63" i="4"/>
  <c r="S63" i="4"/>
  <c r="I63" i="4"/>
  <c r="T62" i="4"/>
  <c r="S62" i="4"/>
  <c r="K62" i="4"/>
  <c r="J62" i="4"/>
  <c r="T61" i="4"/>
  <c r="S61" i="4"/>
  <c r="J61" i="4"/>
  <c r="K61" i="4" s="1"/>
  <c r="T60" i="4"/>
  <c r="S60" i="4"/>
  <c r="K60" i="4"/>
  <c r="J60" i="4"/>
  <c r="T59" i="4"/>
  <c r="S59" i="4"/>
  <c r="J59" i="4"/>
  <c r="K59" i="4" s="1"/>
  <c r="T58" i="4"/>
  <c r="S58" i="4"/>
  <c r="K58" i="4"/>
  <c r="J58" i="4"/>
  <c r="T57" i="4"/>
  <c r="S57" i="4"/>
  <c r="J57" i="4"/>
  <c r="K57" i="4" s="1"/>
  <c r="T56" i="4"/>
  <c r="S56" i="4"/>
  <c r="T55" i="4"/>
  <c r="S55" i="4"/>
  <c r="R55" i="4"/>
  <c r="T54" i="4"/>
  <c r="S54" i="4"/>
  <c r="R54" i="4"/>
  <c r="T53" i="4"/>
  <c r="S53" i="4"/>
  <c r="K53" i="4"/>
  <c r="J53" i="4"/>
  <c r="T52" i="4"/>
  <c r="S52" i="4"/>
  <c r="J52" i="4"/>
  <c r="K52" i="4" s="1"/>
  <c r="T51" i="4"/>
  <c r="S51" i="4"/>
  <c r="R51" i="4"/>
  <c r="I51" i="4"/>
  <c r="T50" i="4"/>
  <c r="S50" i="4"/>
  <c r="R50" i="4"/>
  <c r="S49" i="4"/>
  <c r="R49" i="4"/>
  <c r="T48" i="4"/>
  <c r="S48" i="4"/>
  <c r="K48" i="4"/>
  <c r="J48" i="4"/>
  <c r="T47" i="4"/>
  <c r="S47" i="4"/>
  <c r="J47" i="4"/>
  <c r="K47" i="4" s="1"/>
  <c r="U46" i="4"/>
  <c r="U47" i="4" s="1"/>
  <c r="T46" i="4"/>
  <c r="S46" i="4"/>
  <c r="R46" i="4"/>
  <c r="T45" i="4"/>
  <c r="S45" i="4"/>
  <c r="R45" i="4"/>
  <c r="T44" i="4"/>
  <c r="S44" i="4"/>
  <c r="K44" i="4"/>
  <c r="J44" i="4"/>
  <c r="I44" i="4"/>
  <c r="T43" i="4"/>
  <c r="S43" i="4"/>
  <c r="K43" i="4"/>
  <c r="J43" i="4"/>
  <c r="I43" i="4"/>
  <c r="T42" i="4"/>
  <c r="S42" i="4"/>
  <c r="J42" i="4"/>
  <c r="J40" i="4" s="1"/>
  <c r="M40" i="4" s="1"/>
  <c r="I42" i="4"/>
  <c r="I40" i="4" s="1"/>
  <c r="T41" i="4"/>
  <c r="S41" i="4"/>
  <c r="J41" i="4"/>
  <c r="I41" i="4"/>
  <c r="K41" i="4" s="1"/>
  <c r="U40" i="4"/>
  <c r="U41" i="4" s="1"/>
  <c r="T40" i="4"/>
  <c r="S40" i="4"/>
  <c r="R40" i="4"/>
  <c r="T39" i="4"/>
  <c r="S39" i="4"/>
  <c r="R39" i="4"/>
  <c r="T38" i="4"/>
  <c r="S38" i="4"/>
  <c r="R38" i="4"/>
  <c r="T37" i="4"/>
  <c r="S37" i="4"/>
  <c r="R37" i="4"/>
  <c r="U36" i="4"/>
  <c r="U37" i="4" s="1"/>
  <c r="U38" i="4" s="1"/>
  <c r="U39" i="4" s="1"/>
  <c r="S36" i="4"/>
  <c r="R36" i="4"/>
  <c r="M36" i="4"/>
  <c r="T35" i="4"/>
  <c r="S35" i="4"/>
  <c r="R35" i="4"/>
  <c r="U34" i="4"/>
  <c r="U35" i="4" s="1"/>
  <c r="S34" i="4"/>
  <c r="R34" i="4"/>
  <c r="M34" i="4"/>
  <c r="T33" i="4"/>
  <c r="S33" i="4"/>
  <c r="R33" i="4"/>
  <c r="T32" i="4"/>
  <c r="S32" i="4"/>
  <c r="I32" i="4"/>
  <c r="I30" i="4" s="1"/>
  <c r="T31" i="4"/>
  <c r="S31" i="4"/>
  <c r="K31" i="4"/>
  <c r="J31" i="4"/>
  <c r="U30" i="4"/>
  <c r="U31" i="4" s="1"/>
  <c r="U32" i="4" s="1"/>
  <c r="T30" i="4"/>
  <c r="S30" i="4"/>
  <c r="R30" i="4"/>
  <c r="J30" i="4"/>
  <c r="M30" i="4" s="1"/>
  <c r="T29" i="4"/>
  <c r="S29" i="4"/>
  <c r="R29" i="4"/>
  <c r="T28" i="4"/>
  <c r="S28" i="4"/>
  <c r="I28" i="4"/>
  <c r="I26" i="4" s="1"/>
  <c r="T27" i="4"/>
  <c r="S27" i="4"/>
  <c r="J27" i="4"/>
  <c r="K27" i="4" s="1"/>
  <c r="T26" i="4"/>
  <c r="S26" i="4"/>
  <c r="R26" i="4"/>
  <c r="H26" i="4"/>
  <c r="T25" i="4"/>
  <c r="S25" i="4"/>
  <c r="R25" i="4"/>
  <c r="T24" i="4"/>
  <c r="S24" i="4"/>
  <c r="J24" i="4"/>
  <c r="K24" i="4" s="1"/>
  <c r="T23" i="4"/>
  <c r="S23" i="4"/>
  <c r="K23" i="4"/>
  <c r="J23" i="4"/>
  <c r="T22" i="4"/>
  <c r="S22" i="4"/>
  <c r="R22" i="4"/>
  <c r="K22" i="4"/>
  <c r="J22" i="4"/>
  <c r="I22" i="4"/>
  <c r="T21" i="4"/>
  <c r="S21" i="4"/>
  <c r="R21" i="4"/>
  <c r="T20" i="4"/>
  <c r="R20" i="4"/>
  <c r="K20" i="4"/>
  <c r="I20" i="4"/>
  <c r="I19" i="4" s="1"/>
  <c r="K19" i="4" s="1"/>
  <c r="G20" i="4"/>
  <c r="T19" i="4"/>
  <c r="S19" i="4"/>
  <c r="R19" i="4"/>
  <c r="J19" i="4"/>
  <c r="T18" i="4"/>
  <c r="S18" i="4"/>
  <c r="R18" i="4"/>
  <c r="T17" i="4"/>
  <c r="S17" i="4"/>
  <c r="K17" i="4"/>
  <c r="J17" i="4"/>
  <c r="J15" i="4" s="1"/>
  <c r="T16" i="4"/>
  <c r="S16" i="4"/>
  <c r="J16" i="4"/>
  <c r="K16" i="4" s="1"/>
  <c r="U15" i="4"/>
  <c r="U16" i="4" s="1"/>
  <c r="T15" i="4"/>
  <c r="S15" i="4"/>
  <c r="R15" i="4"/>
  <c r="L15" i="4"/>
  <c r="T14" i="4"/>
  <c r="S14" i="4"/>
  <c r="R14" i="4"/>
  <c r="U13" i="4"/>
  <c r="U14" i="4" s="1"/>
  <c r="T13" i="4"/>
  <c r="S13" i="4"/>
  <c r="J13" i="4"/>
  <c r="K13" i="4" s="1"/>
  <c r="H13" i="4"/>
  <c r="M13" i="4" s="1"/>
  <c r="T12" i="4"/>
  <c r="S12" i="4"/>
  <c r="R12" i="4"/>
  <c r="U11" i="4"/>
  <c r="U12" i="4" s="1"/>
  <c r="T11" i="4"/>
  <c r="S11" i="4"/>
  <c r="R11" i="4"/>
  <c r="U10" i="4"/>
  <c r="C21" i="3"/>
  <c r="C5" i="3" s="1"/>
  <c r="G20" i="3"/>
  <c r="G19" i="3"/>
  <c r="F19" i="3"/>
  <c r="G18" i="3"/>
  <c r="F18" i="3"/>
  <c r="G17" i="3"/>
  <c r="F17" i="3"/>
  <c r="G16" i="3"/>
  <c r="F16" i="3"/>
  <c r="F21" i="3" s="1"/>
  <c r="H85" i="4" s="1"/>
  <c r="E15" i="3"/>
  <c r="E14" i="3"/>
  <c r="E13" i="3"/>
  <c r="D12" i="3"/>
  <c r="D11" i="3"/>
  <c r="F37" i="2"/>
  <c r="G29" i="2" s="1"/>
  <c r="G33" i="2"/>
  <c r="G32" i="2"/>
  <c r="G31" i="2"/>
  <c r="G30" i="2"/>
  <c r="G24" i="2"/>
  <c r="G21" i="2"/>
  <c r="G20" i="2"/>
  <c r="G19" i="2"/>
  <c r="G18" i="2"/>
  <c r="G16" i="2"/>
  <c r="G15" i="2"/>
  <c r="G13" i="2"/>
  <c r="G12" i="2"/>
  <c r="G10" i="2"/>
  <c r="G9" i="2"/>
  <c r="G8" i="2"/>
  <c r="G7" i="2"/>
  <c r="G6" i="2"/>
  <c r="G5" i="2"/>
  <c r="G4" i="2"/>
  <c r="H4" i="2" s="1"/>
  <c r="E26" i="1"/>
  <c r="F22" i="1" s="1"/>
  <c r="F23" i="1"/>
  <c r="F17" i="1"/>
  <c r="F13" i="1"/>
  <c r="F11" i="1"/>
  <c r="F5" i="1"/>
  <c r="K7" i="6" l="1"/>
  <c r="G49" i="4" s="1"/>
  <c r="I49" i="4" s="1"/>
  <c r="K49" i="4" s="1"/>
  <c r="G21" i="3"/>
  <c r="H100" i="4" s="1"/>
  <c r="D21" i="3"/>
  <c r="H55" i="4" s="1"/>
  <c r="E21" i="3"/>
  <c r="H70" i="4" s="1"/>
  <c r="G22" i="2"/>
  <c r="G34" i="2"/>
  <c r="G11" i="2"/>
  <c r="G23" i="2"/>
  <c r="G35" i="2"/>
  <c r="G25" i="2"/>
  <c r="G14" i="2"/>
  <c r="G26" i="2"/>
  <c r="G27" i="2"/>
  <c r="G28" i="2"/>
  <c r="G17" i="2"/>
  <c r="K132" i="4"/>
  <c r="L132" i="4"/>
  <c r="N132" i="4" s="1"/>
  <c r="U48" i="4"/>
  <c r="U122" i="4"/>
  <c r="K116" i="4"/>
  <c r="K26" i="4"/>
  <c r="L36" i="4"/>
  <c r="N36" i="4" s="1"/>
  <c r="K36" i="4"/>
  <c r="G112" i="4"/>
  <c r="I112" i="4" s="1"/>
  <c r="K112" i="4" s="1"/>
  <c r="G82" i="4"/>
  <c r="I82" i="4" s="1"/>
  <c r="K82" i="4" s="1"/>
  <c r="G67" i="4"/>
  <c r="I67" i="4" s="1"/>
  <c r="K67" i="4" s="1"/>
  <c r="G97" i="4"/>
  <c r="I97" i="4" s="1"/>
  <c r="K97" i="4" s="1"/>
  <c r="U17" i="4"/>
  <c r="L40" i="4"/>
  <c r="N40" i="4" s="1"/>
  <c r="K40" i="4"/>
  <c r="H22" i="4"/>
  <c r="U55" i="4"/>
  <c r="U56" i="4" s="1"/>
  <c r="U33" i="4"/>
  <c r="U135" i="4"/>
  <c r="K30" i="4"/>
  <c r="L30" i="4"/>
  <c r="N30" i="4" s="1"/>
  <c r="U100" i="4"/>
  <c r="U101" i="4" s="1"/>
  <c r="U42" i="4"/>
  <c r="C6" i="3"/>
  <c r="K121" i="4"/>
  <c r="I120" i="4"/>
  <c r="I46" i="4"/>
  <c r="U85" i="4"/>
  <c r="U86" i="4" s="1"/>
  <c r="U70" i="4"/>
  <c r="U71" i="4" s="1"/>
  <c r="K15" i="4"/>
  <c r="M15" i="4"/>
  <c r="G80" i="4"/>
  <c r="I80" i="4" s="1"/>
  <c r="K80" i="4" s="1"/>
  <c r="G110" i="4"/>
  <c r="I110" i="4" s="1"/>
  <c r="G65" i="4"/>
  <c r="I65" i="4" s="1"/>
  <c r="K65" i="4" s="1"/>
  <c r="G95" i="4"/>
  <c r="I95" i="4" s="1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U130" i="4"/>
  <c r="K135" i="4"/>
  <c r="F6" i="1"/>
  <c r="F12" i="1"/>
  <c r="F18" i="1"/>
  <c r="F24" i="1"/>
  <c r="K28" i="4"/>
  <c r="H51" i="4"/>
  <c r="I5" i="6"/>
  <c r="K5" i="6" s="1"/>
  <c r="G34" i="4" s="1"/>
  <c r="I34" i="4" s="1"/>
  <c r="F7" i="1"/>
  <c r="F19" i="1"/>
  <c r="B54" i="5"/>
  <c r="K42" i="4"/>
  <c r="J46" i="4"/>
  <c r="M46" i="4" s="1"/>
  <c r="J51" i="4"/>
  <c r="K51" i="4" s="1"/>
  <c r="K63" i="4"/>
  <c r="J128" i="4"/>
  <c r="M128" i="4" s="1"/>
  <c r="N128" i="4" s="1"/>
  <c r="F8" i="1"/>
  <c r="F14" i="1"/>
  <c r="F20" i="1"/>
  <c r="U26" i="4"/>
  <c r="U27" i="4" s="1"/>
  <c r="K32" i="4"/>
  <c r="I8" i="6"/>
  <c r="K8" i="6" s="1"/>
  <c r="I10" i="6"/>
  <c r="K10" i="6" s="1"/>
  <c r="U118" i="4"/>
  <c r="F9" i="1"/>
  <c r="F15" i="1"/>
  <c r="F21" i="1"/>
  <c r="J26" i="4"/>
  <c r="M26" i="4" s="1"/>
  <c r="U126" i="4"/>
  <c r="J136" i="4"/>
  <c r="K136" i="4" s="1"/>
  <c r="L13" i="4"/>
  <c r="F4" i="1"/>
  <c r="G4" i="1" s="1"/>
  <c r="G5" i="1" s="1"/>
  <c r="F10" i="1"/>
  <c r="F16" i="1"/>
  <c r="L26" i="4"/>
  <c r="J124" i="4"/>
  <c r="M124" i="4" s="1"/>
  <c r="N124" i="4" s="1"/>
  <c r="H19" i="4" l="1"/>
  <c r="M22" i="4"/>
  <c r="L22" i="4"/>
  <c r="N22" i="4" s="1"/>
  <c r="U22" i="4"/>
  <c r="U23" i="4" s="1"/>
  <c r="U43" i="4"/>
  <c r="U49" i="4"/>
  <c r="U18" i="4"/>
  <c r="N15" i="4"/>
  <c r="K110" i="4"/>
  <c r="I100" i="4"/>
  <c r="G101" i="4"/>
  <c r="J101" i="4" s="1"/>
  <c r="G98" i="4"/>
  <c r="I98" i="4" s="1"/>
  <c r="K98" i="4" s="1"/>
  <c r="G83" i="4"/>
  <c r="I83" i="4" s="1"/>
  <c r="K83" i="4" s="1"/>
  <c r="G113" i="4"/>
  <c r="I113" i="4" s="1"/>
  <c r="K113" i="4" s="1"/>
  <c r="G68" i="4"/>
  <c r="I68" i="4" s="1"/>
  <c r="K68" i="4" s="1"/>
  <c r="G6" i="1"/>
  <c r="L46" i="4"/>
  <c r="N46" i="4" s="1"/>
  <c r="K46" i="4"/>
  <c r="U102" i="4"/>
  <c r="G56" i="4"/>
  <c r="J56" i="4" s="1"/>
  <c r="G86" i="4"/>
  <c r="J86" i="4" s="1"/>
  <c r="K95" i="4"/>
  <c r="G96" i="4"/>
  <c r="I96" i="4" s="1"/>
  <c r="K96" i="4" s="1"/>
  <c r="G81" i="4"/>
  <c r="I81" i="4" s="1"/>
  <c r="G66" i="4"/>
  <c r="I66" i="4" s="1"/>
  <c r="K66" i="4" s="1"/>
  <c r="G111" i="4"/>
  <c r="I111" i="4" s="1"/>
  <c r="K111" i="4" s="1"/>
  <c r="U119" i="4"/>
  <c r="K128" i="4"/>
  <c r="U131" i="4"/>
  <c r="L120" i="4"/>
  <c r="N120" i="4" s="1"/>
  <c r="K120" i="4"/>
  <c r="U87" i="4"/>
  <c r="N26" i="4"/>
  <c r="I55" i="4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K124" i="4"/>
  <c r="U127" i="4"/>
  <c r="N13" i="4"/>
  <c r="U28" i="4"/>
  <c r="L34" i="4"/>
  <c r="N34" i="4" s="1"/>
  <c r="K34" i="4"/>
  <c r="U123" i="4"/>
  <c r="U72" i="4"/>
  <c r="M51" i="4"/>
  <c r="L51" i="4"/>
  <c r="N51" i="4" s="1"/>
  <c r="H136" i="4"/>
  <c r="U51" i="4"/>
  <c r="U52" i="4" s="1"/>
  <c r="U57" i="4"/>
  <c r="I85" i="4" l="1"/>
  <c r="G71" i="4"/>
  <c r="J71" i="4" s="1"/>
  <c r="U19" i="4"/>
  <c r="U20" i="4" s="1"/>
  <c r="M19" i="4"/>
  <c r="L19" i="4"/>
  <c r="K56" i="4"/>
  <c r="J55" i="4"/>
  <c r="M55" i="4" s="1"/>
  <c r="L100" i="4"/>
  <c r="U73" i="4"/>
  <c r="U58" i="4"/>
  <c r="U53" i="4"/>
  <c r="U103" i="4"/>
  <c r="K86" i="4"/>
  <c r="J85" i="4"/>
  <c r="M85" i="4" s="1"/>
  <c r="M136" i="4"/>
  <c r="L136" i="4"/>
  <c r="N136" i="4" s="1"/>
  <c r="U136" i="4"/>
  <c r="U137" i="4" s="1"/>
  <c r="U88" i="4"/>
  <c r="U50" i="4"/>
  <c r="K101" i="4"/>
  <c r="J100" i="4"/>
  <c r="M100" i="4" s="1"/>
  <c r="U29" i="4"/>
  <c r="K55" i="4"/>
  <c r="L55" i="4"/>
  <c r="N55" i="4" s="1"/>
  <c r="U44" i="4"/>
  <c r="K81" i="4"/>
  <c r="I70" i="4"/>
  <c r="U24" i="4"/>
  <c r="U25" i="4" l="1"/>
  <c r="U138" i="4"/>
  <c r="U59" i="4"/>
  <c r="N19" i="4"/>
  <c r="U74" i="4"/>
  <c r="U21" i="4"/>
  <c r="K71" i="4"/>
  <c r="J70" i="4"/>
  <c r="M70" i="4" s="1"/>
  <c r="M139" i="4" s="1"/>
  <c r="B61" i="5" s="1"/>
  <c r="B62" i="5" s="1"/>
  <c r="U54" i="4"/>
  <c r="U104" i="4"/>
  <c r="N100" i="4"/>
  <c r="K85" i="4"/>
  <c r="L85" i="4"/>
  <c r="N85" i="4" s="1"/>
  <c r="U89" i="4"/>
  <c r="U45" i="4"/>
  <c r="K100" i="4"/>
  <c r="K70" i="4"/>
  <c r="L70" i="4"/>
  <c r="N70" i="4" l="1"/>
  <c r="L139" i="4"/>
  <c r="A61" i="5" s="1"/>
  <c r="C61" i="5" s="1"/>
  <c r="C62" i="5" s="1"/>
  <c r="C11" i="5" s="1"/>
  <c r="B17" i="5" s="1"/>
  <c r="B21" i="5" s="1"/>
  <c r="O3" i="4" s="1"/>
  <c r="N139" i="4"/>
  <c r="U139" i="4"/>
  <c r="U105" i="4"/>
  <c r="U60" i="4"/>
  <c r="U75" i="4"/>
  <c r="U90" i="4"/>
  <c r="R134" i="4" l="1"/>
  <c r="O124" i="4"/>
  <c r="P124" i="4" s="1"/>
  <c r="R87" i="4"/>
  <c r="O15" i="4"/>
  <c r="P15" i="4" s="1"/>
  <c r="S20" i="4"/>
  <c r="S139" i="4" s="1"/>
  <c r="S4" i="4" s="1"/>
  <c r="R56" i="4"/>
  <c r="R74" i="4"/>
  <c r="R126" i="4"/>
  <c r="R137" i="4"/>
  <c r="O100" i="4"/>
  <c r="P100" i="4" s="1"/>
  <c r="O136" i="4"/>
  <c r="P136" i="4" s="1"/>
  <c r="R71" i="4"/>
  <c r="O30" i="4"/>
  <c r="P30" i="4" s="1"/>
  <c r="R127" i="4"/>
  <c r="R41" i="4"/>
  <c r="R48" i="4"/>
  <c r="R131" i="4"/>
  <c r="R57" i="4"/>
  <c r="R138" i="4"/>
  <c r="R102" i="4"/>
  <c r="O13" i="4"/>
  <c r="R101" i="4"/>
  <c r="O22" i="4"/>
  <c r="P22" i="4" s="1"/>
  <c r="O51" i="4"/>
  <c r="P51" i="4" s="1"/>
  <c r="R123" i="4"/>
  <c r="R59" i="4"/>
  <c r="R135" i="4"/>
  <c r="R13" i="4"/>
  <c r="O40" i="4"/>
  <c r="P40" i="4" s="1"/>
  <c r="R104" i="4"/>
  <c r="R27" i="4"/>
  <c r="T49" i="4"/>
  <c r="O70" i="4"/>
  <c r="P70" i="4" s="1"/>
  <c r="R32" i="4"/>
  <c r="R121" i="4"/>
  <c r="O120" i="4"/>
  <c r="P120" i="4" s="1"/>
  <c r="O34" i="4"/>
  <c r="P34" i="4" s="1"/>
  <c r="R24" i="4"/>
  <c r="R23" i="4"/>
  <c r="R86" i="4"/>
  <c r="R103" i="4"/>
  <c r="R58" i="4"/>
  <c r="R88" i="4"/>
  <c r="O46" i="4"/>
  <c r="P46" i="4" s="1"/>
  <c r="R31" i="4"/>
  <c r="R17" i="4"/>
  <c r="R118" i="4"/>
  <c r="R43" i="4"/>
  <c r="R52" i="4"/>
  <c r="R72" i="4"/>
  <c r="R89" i="4"/>
  <c r="O128" i="4"/>
  <c r="P128" i="4" s="1"/>
  <c r="R133" i="4"/>
  <c r="O132" i="4"/>
  <c r="P132" i="4" s="1"/>
  <c r="R122" i="4"/>
  <c r="O55" i="4"/>
  <c r="P55" i="4" s="1"/>
  <c r="R130" i="4"/>
  <c r="O26" i="4"/>
  <c r="P26" i="4" s="1"/>
  <c r="O85" i="4"/>
  <c r="P85" i="4" s="1"/>
  <c r="R73" i="4"/>
  <c r="R117" i="4"/>
  <c r="R42" i="4"/>
  <c r="T34" i="4"/>
  <c r="O19" i="4"/>
  <c r="P19" i="4" s="1"/>
  <c r="R28" i="4"/>
  <c r="R129" i="4"/>
  <c r="O36" i="4"/>
  <c r="P36" i="4" s="1"/>
  <c r="T36" i="4"/>
  <c r="R119" i="4"/>
  <c r="R125" i="4"/>
  <c r="R44" i="4"/>
  <c r="R16" i="4"/>
  <c r="O116" i="4"/>
  <c r="P116" i="4" s="1"/>
  <c r="R47" i="4"/>
  <c r="R53" i="4"/>
  <c r="U106" i="4"/>
  <c r="R105" i="4"/>
  <c r="R90" i="4"/>
  <c r="U91" i="4"/>
  <c r="R75" i="4"/>
  <c r="U76" i="4"/>
  <c r="U61" i="4"/>
  <c r="R60" i="4"/>
  <c r="O139" i="4" l="1"/>
  <c r="P38" i="4"/>
  <c r="P13" i="4"/>
  <c r="P11" i="4" s="1"/>
  <c r="P115" i="4"/>
  <c r="R61" i="4"/>
  <c r="U62" i="4"/>
  <c r="R91" i="4"/>
  <c r="U92" i="4"/>
  <c r="R76" i="4"/>
  <c r="U77" i="4"/>
  <c r="P139" i="4"/>
  <c r="R106" i="4"/>
  <c r="U107" i="4"/>
  <c r="D5" i="3" l="1"/>
  <c r="D6" i="3" s="1"/>
  <c r="R107" i="4"/>
  <c r="U108" i="4"/>
  <c r="U63" i="4"/>
  <c r="R62" i="4"/>
  <c r="R77" i="4"/>
  <c r="U78" i="4"/>
  <c r="R92" i="4"/>
  <c r="U93" i="4"/>
  <c r="R108" i="4" l="1"/>
  <c r="U109" i="4"/>
  <c r="R93" i="4"/>
  <c r="U94" i="4"/>
  <c r="R78" i="4"/>
  <c r="U79" i="4"/>
  <c r="R63" i="4"/>
  <c r="U64" i="4"/>
  <c r="U65" i="4" l="1"/>
  <c r="R64" i="4"/>
  <c r="R79" i="4"/>
  <c r="U80" i="4"/>
  <c r="R94" i="4"/>
  <c r="U95" i="4"/>
  <c r="R109" i="4"/>
  <c r="R139" i="4" s="1"/>
  <c r="S3" i="4" s="1"/>
  <c r="U110" i="4"/>
  <c r="U81" i="4" l="1"/>
  <c r="T80" i="4"/>
  <c r="U111" i="4"/>
  <c r="T110" i="4"/>
  <c r="T95" i="4"/>
  <c r="U96" i="4"/>
  <c r="T65" i="4"/>
  <c r="U66" i="4"/>
  <c r="U97" i="4" l="1"/>
  <c r="T96" i="4"/>
  <c r="T111" i="4"/>
  <c r="U112" i="4"/>
  <c r="T66" i="4"/>
  <c r="U67" i="4"/>
  <c r="T81" i="4"/>
  <c r="U82" i="4"/>
  <c r="T82" i="4" l="1"/>
  <c r="U83" i="4"/>
  <c r="U68" i="4"/>
  <c r="T67" i="4"/>
  <c r="U113" i="4"/>
  <c r="T112" i="4"/>
  <c r="T97" i="4"/>
  <c r="U98" i="4"/>
  <c r="U69" i="4" l="1"/>
  <c r="T68" i="4"/>
  <c r="T83" i="4"/>
  <c r="U84" i="4"/>
  <c r="U99" i="4"/>
  <c r="T98" i="4"/>
  <c r="T113" i="4"/>
  <c r="T139" i="4" s="1"/>
  <c r="S5" i="4" s="1"/>
  <c r="U114" i="4"/>
  <c r="U115" i="4" s="1"/>
  <c r="S6" i="4" l="1"/>
  <c r="T6" i="4" l="1"/>
  <c r="T4" i="4"/>
  <c r="T3" i="4"/>
  <c r="T5" i="4"/>
</calcChain>
</file>

<file path=xl/sharedStrings.xml><?xml version="1.0" encoding="utf-8"?>
<sst xmlns="http://schemas.openxmlformats.org/spreadsheetml/2006/main" count="676" uniqueCount="231">
  <si>
    <t>CURVA ABC DE SERVIÇOS</t>
  </si>
  <si>
    <t>ITEM</t>
  </si>
  <si>
    <t>DESCRIÇÃO</t>
  </si>
  <si>
    <t>UNID</t>
  </si>
  <si>
    <t>QUANT</t>
  </si>
  <si>
    <t>VALOR (R$)</t>
  </si>
  <si>
    <t>%</t>
  </si>
  <si>
    <t>% ACUM</t>
  </si>
  <si>
    <t>2.6</t>
  </si>
  <si>
    <t>REDE PARA CONDICIONADOR  E REINSTALAÇÃO DE EQUIPAMENTOS  DE AR - instalação da rede frigorígena completa, inclusive carga de gás. Linhas entre 20m e 30 m</t>
  </si>
  <si>
    <t>UD</t>
  </si>
  <si>
    <t>2.5</t>
  </si>
  <si>
    <t>REDE PARA CONDICIONADOR  E REINSTALAÇÃO DE EQUIPAMENTOS  DE AR - instalação da rede frigorígena completa, inclusive carga de gás. Linhas entre 10m e 20 m</t>
  </si>
  <si>
    <t>2.7</t>
  </si>
  <si>
    <t>REDE PARA CONDICIONADOR  E REINSTALAÇÃO DE EQUIPAMENTOS  DE AR - instalação da rede frigorígena completa, inclusive carga de gás. Linhas acima de 30 m</t>
  </si>
  <si>
    <t>2.4</t>
  </si>
  <si>
    <t>REDE PARA CONDICIONADOR  E REINSTALAÇÃO DE EQUIPAMENTOS  DE AR - instalação da rede frigorígena completa, inclusive carga de gás. Linhas até 10 m</t>
  </si>
  <si>
    <t>1.2</t>
  </si>
  <si>
    <t>Remoção de unidade interna/externa de ar-condicionado e das redes frigorígenas</t>
  </si>
  <si>
    <t>und</t>
  </si>
  <si>
    <t>3.6</t>
  </si>
  <si>
    <t xml:space="preserve">Mão de obra por hora, de serviços especializados em cabeamento estruturado CAT6, baixa e alta tensão tais como montagem de rack, ativação de ponto lógico, instalação ou troca de swicthers, manobra de patch cords, organização de rack, montagem, identificação de pontos, laudos, vistoria e treinamento de usuário; Retirada, recolocação, organização dos equipamentos de telecomunicações, como switchers, roteadores, modens, aceleradores, pacth panels, voice panels, pacth cords, do rack antigo para rack novo, organização de rack existente,com testes de funcionamento; Reaperto em quadro elétrico, re-arme de disjuntor, procura de falhas, refazer emendas, orientação ao usuário, identificação de circuitos,  montagem de quadro elétrico,serviços em geral de eletricidade </t>
  </si>
  <si>
    <t>DIA</t>
  </si>
  <si>
    <t>2.3</t>
  </si>
  <si>
    <t>INSTALAÇÃO DO EQUIPAMENTO - O EQUIPAMENTO SERÁ FORNECIDO PELO TRT</t>
  </si>
  <si>
    <t>1.1</t>
  </si>
  <si>
    <t xml:space="preserve">ENGENHEIRO OU ARQUITETO </t>
  </si>
  <si>
    <t>h</t>
  </si>
  <si>
    <t>1.3</t>
  </si>
  <si>
    <t>FORNECIMENTO E INSTALAÇÃO DE FORRO MODULAR (ACARTONADO COM PVC/MINERAL/ISOPOR) - SOMENTE AS PLACAS - ESTIMADOS 50% DO VALOR DO FORRO COMPLETO</t>
  </si>
  <si>
    <t>m²</t>
  </si>
  <si>
    <t>1.4</t>
  </si>
  <si>
    <t>REMOÇÃO E POSTERIOR REINSTALÇÃO de placas de forro modular (PVC, gesso acartonado, fibra mineral isopor, etc) - considerado a desmontagem e montagem do forro ao longo das redes frigorígenas</t>
  </si>
  <si>
    <t xml:space="preserve"> m²</t>
  </si>
  <si>
    <t>3.4</t>
  </si>
  <si>
    <t>Cabo PP 3 condutores 4 mm²</t>
  </si>
  <si>
    <t>3.2</t>
  </si>
  <si>
    <t>Cabo flexível isolado em PVC 6 mm² 450 a 750 V</t>
  </si>
  <si>
    <t>3.3</t>
  </si>
  <si>
    <t>Cabo PP 3 condutores 1,5mm²</t>
  </si>
  <si>
    <t>2.2</t>
  </si>
  <si>
    <t>Fornecimento e instalação de bomba de drenagem de condensado, referência Maxi Orange Grande (37l)</t>
  </si>
  <si>
    <t>un</t>
  </si>
  <si>
    <t>3.1</t>
  </si>
  <si>
    <t>Cabo flexível isolação 750V 4 mm², antichama</t>
  </si>
  <si>
    <t>m</t>
  </si>
  <si>
    <t>1.7</t>
  </si>
  <si>
    <t>CAÇAMBA PARA ENTULHO COMUM - locação - capacidade 5m³</t>
  </si>
  <si>
    <t>2.1</t>
  </si>
  <si>
    <t>PONTO DE DRENO COM TUBULAÇÃO DE PVC , DN 25 MM, INCLUSOS RASGO E CHUMBAMENTO EM ALVENARIA.</t>
  </si>
  <si>
    <t>1.8</t>
  </si>
  <si>
    <t>CAÇAMBA PARA MATERIAL ESPECIAL (GESSO) - locação - capacidade 5m³</t>
  </si>
  <si>
    <t>1.6</t>
  </si>
  <si>
    <t>FURO EM ALVENARIA PARA PASSAGEM DA TUBULAÇÃO - REDE FRIGORIGENA E/OU DRENO - INCLUSIVE FECHAMENTO E VEDAÇÃO</t>
  </si>
  <si>
    <t>1.5</t>
  </si>
  <si>
    <t xml:space="preserve">FORNECIMENTO/INSTALACAO LONA PLASTICA PRETA, PARA IMPERMEABILIZACAO, ESPESSURA 150 MICRAS -COBRIMENTO DE EQUIPAMENTOS </t>
  </si>
  <si>
    <t>M2</t>
  </si>
  <si>
    <t>3.5</t>
  </si>
  <si>
    <t>Mini Disjuntor Bipolar 6 até 32A,norma DIN/IEC ou NEMA -  tipo de curva característica: C</t>
  </si>
  <si>
    <t>pç</t>
  </si>
  <si>
    <t>TOTAL</t>
  </si>
  <si>
    <t>CURVA ABC DE INSUMOS</t>
  </si>
  <si>
    <t>TABELA</t>
  </si>
  <si>
    <t>CÓDIGO</t>
  </si>
  <si>
    <t>SINAPI</t>
  </si>
  <si>
    <t>39665</t>
  </si>
  <si>
    <t>TUBO DE COBRE FLEXIVEL, D = 5/8 ", E = 0,79 MM, PARA AR-CONDICIONADO/ INSTALACOES GAS RESIDENCIAIS E COMERCIAIS</t>
  </si>
  <si>
    <t>M</t>
  </si>
  <si>
    <t>39664</t>
  </si>
  <si>
    <t>TUBO DE COBRE FLEXIVEL, D = 3/8 ", E = 0,79 MM, PARA AR-CONDICIONADO/ INSTALACOES GAS RESIDENCIAIS E COMERCIAIS</t>
  </si>
  <si>
    <t>DIVERSOS sobre materiais para colocação de condicionador de ar tipo Split Inverter</t>
  </si>
  <si>
    <t>nd</t>
  </si>
  <si>
    <t>88277</t>
  </si>
  <si>
    <t>Montador (tubo aço/equipamentos) com encargos complementares</t>
  </si>
  <si>
    <t>88316</t>
  </si>
  <si>
    <t>Servente com encargos complementares</t>
  </si>
  <si>
    <t>COTAÇÃO</t>
  </si>
  <si>
    <t>Cabo PP Flexível 5 vias, 1,5mm</t>
  </si>
  <si>
    <t>88247</t>
  </si>
  <si>
    <t>Auxiliar de eletricista com encargos complementares</t>
  </si>
  <si>
    <t>88264</t>
  </si>
  <si>
    <t>Eletricista com encargos complementares</t>
  </si>
  <si>
    <t>88267</t>
  </si>
  <si>
    <t>ENCANADOR OU BOMBEIRO HIDRÁULICO COM ENCARGOS COMPLEMENTARES</t>
  </si>
  <si>
    <t>H</t>
  </si>
  <si>
    <t>90777</t>
  </si>
  <si>
    <t>TCPO</t>
  </si>
  <si>
    <t>21.102.000010.SER</t>
  </si>
  <si>
    <t>Forro de gesso acartonado em placas removíveis de 62 x 62 cm x 12,5 mm, estruturado com perfis "T" de aço galvanizado, instalado</t>
  </si>
  <si>
    <t>88248</t>
  </si>
  <si>
    <t>AUXILIAR DE ENCANADOR OU BOMBEIRO HIDRÁULICO COM ENCARGOS COMPLEMENTARES</t>
  </si>
  <si>
    <t>88278</t>
  </si>
  <si>
    <t>Montador de estrutura metálica com encargos complementares</t>
  </si>
  <si>
    <t>ser/mo</t>
  </si>
  <si>
    <t>6111</t>
  </si>
  <si>
    <t>Auxiliar de eletricista</t>
  </si>
  <si>
    <t>h/h</t>
  </si>
  <si>
    <t>Bomba de dreno maxi, para condicionadores de ar</t>
  </si>
  <si>
    <t>34621</t>
  </si>
  <si>
    <t>Tubo isolante polietileno blindado 3/8" - 10mm
barra 2m</t>
  </si>
  <si>
    <t>Tubo isolante polietileno blindado 1/2" - 10mm
barra 2m</t>
  </si>
  <si>
    <t>Gás refrigerante R-410A</t>
  </si>
  <si>
    <t>KG</t>
  </si>
  <si>
    <t>39258</t>
  </si>
  <si>
    <t>982</t>
  </si>
  <si>
    <t>981</t>
  </si>
  <si>
    <t>Cabo flexível isolado em PVC 4 mm² 450 a 750 V</t>
  </si>
  <si>
    <t>89356</t>
  </si>
  <si>
    <t xml:space="preserve">TUBO, PVC, SOLDÁVEL, DN 25MM, INSTALADO EM RAMAL OU SUB-RAMAL DE ÁGUA - FORNECIMENTO E INSTALAÇÃO. AF_12/2014_P </t>
  </si>
  <si>
    <t>90437</t>
  </si>
  <si>
    <t>FURO EM ALVENARIA PARA DIÂMETROS MAIORES QUE 40 MM E MENORES OU IGUAIS A 75 MM. AF_05/2015</t>
  </si>
  <si>
    <t>90466</t>
  </si>
  <si>
    <t>CHUMBAMENTO LINEAR EM ALVENARIA PARA RAMAIS/DISTRIBUIÇÃO COM DIÂMETROS MENORES OU IGUAIS A 40 MM. AF_05/2015</t>
  </si>
  <si>
    <t>43143</t>
  </si>
  <si>
    <t>SELANTE A BASE DE RESINAS ACRILICAS PARA TRINCAS</t>
  </si>
  <si>
    <t>34616</t>
  </si>
  <si>
    <t>3777</t>
  </si>
  <si>
    <t>LONA PLASTICA PRETA, E= 150 MICRA</t>
  </si>
  <si>
    <t>89362</t>
  </si>
  <si>
    <t>JOELHO 90 GRAUS, PVC, SOLDÁVEL, DN 25MM, INSTALADO EM RAMAL OU SUB-RAMAL DE ÁGUA - FORNECIMENTO E INSTALAÇÃO. AF_12/2014_P</t>
  </si>
  <si>
    <t>UN</t>
  </si>
  <si>
    <t>90443</t>
  </si>
  <si>
    <t>RASGO EM ALVENARIA PARA RAMAIS/ DISTRIBUIÇÃO COM DIAMETROS MENORES OU IGUAIS A 40 MM. AF_05/2015</t>
  </si>
  <si>
    <t>CONTRAÇÃO DE EMPRESA PARA INSTALAÇÃO DE EQUIPAMENTOS CONDICIONADORES DE AR SPLIT INVERTER 
(equipamentos fornecidos pelo TRT)</t>
  </si>
  <si>
    <t>LOTE 3 - SETORIAL CURITIBA</t>
  </si>
  <si>
    <t>UNIDADE</t>
  </si>
  <si>
    <t>ENDEREÇO</t>
  </si>
  <si>
    <t>EQUIPAMENTOS A INSTALAR</t>
  </si>
  <si>
    <t>VALOR TOTAL ESTIMADO</t>
  </si>
  <si>
    <t>REGINAL CURITIBA</t>
  </si>
  <si>
    <t>UNIDADES CONFORME LISTAGEM ANEXA</t>
  </si>
  <si>
    <t xml:space="preserve">QUANTITATIVO APARELHOS LIVRES </t>
  </si>
  <si>
    <t>TIPO</t>
  </si>
  <si>
    <t>CAPACIDADE</t>
  </si>
  <si>
    <t>QUANTIDADE</t>
  </si>
  <si>
    <t>linha até 10 m</t>
  </si>
  <si>
    <t>linha de 10 até 20 m</t>
  </si>
  <si>
    <t>linha de 20 até 30 m</t>
  </si>
  <si>
    <t>linhas acima de 30 m</t>
  </si>
  <si>
    <t>SPLIT</t>
  </si>
  <si>
    <t>CASSETE</t>
  </si>
  <si>
    <t>CONTRATAÇÃO DE EMPRESA ESPECIALIZADA PARA INSTALAÇÃO DE EQUIPAMENTOS CONDICIONADORES DE AR TIPO SPLIT INVERTER 
CURITIBA - CAPITAL</t>
  </si>
  <si>
    <t>Estatística das fontes de preços</t>
  </si>
  <si>
    <t>LOCAL:</t>
  </si>
  <si>
    <t>CURITIBA</t>
  </si>
  <si>
    <t>BDI:</t>
  </si>
  <si>
    <t>OBS:</t>
  </si>
  <si>
    <t>Os condicionadores de ar serão fornecidos pelo TRT para instalação pela contratada;</t>
  </si>
  <si>
    <t>DATA:</t>
  </si>
  <si>
    <t>COTAÇÕES</t>
  </si>
  <si>
    <t>(NÃO DESONERADO)</t>
  </si>
  <si>
    <t>ÍTEM</t>
  </si>
  <si>
    <t>UNID.</t>
  </si>
  <si>
    <t>COEF</t>
  </si>
  <si>
    <t>CUSTO
(R$)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</si>
  <si>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</si>
  <si>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</si>
  <si>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</si>
  <si>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</si>
  <si>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</si>
  <si>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</si>
  <si>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</si>
  <si>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ADMINISTRAÇÃO, REMOÇÕES E DEMOLIÇÕES</t>
  </si>
  <si>
    <t>Composição própria</t>
  </si>
  <si>
    <t>(TCPO)</t>
  </si>
  <si>
    <t xml:space="preserve">NA CÉLULA INSERIR APENAS O VALOR DA PLACA DE FORRO </t>
  </si>
  <si>
    <t>COMPOSIÇÃO PRÓPRIA</t>
  </si>
  <si>
    <t>ADAPTADA 
SINAPI 97640</t>
  </si>
  <si>
    <t>Montador de Estrutura Metálica com encargos complementares</t>
  </si>
  <si>
    <r>
      <rPr>
        <sz val="11"/>
        <color theme="1"/>
        <rFont val="Calibri"/>
        <family val="2"/>
        <charset val="1"/>
      </rPr>
      <t>FORNECIMENTO/INSTALACAO LONA PLASTICA PRETA, PARA IMPERMEABILIZACAO, ESPESSURA 150 MICRAS -</t>
    </r>
    <r>
      <rPr>
        <sz val="10"/>
        <color rgb="FFFF0000"/>
        <rFont val="Arial"/>
        <family val="2"/>
        <charset val="1"/>
      </rPr>
      <t xml:space="preserve">COBRIMENTO DE EQUIPAMENTOS </t>
    </r>
  </si>
  <si>
    <t>SERVENTE COM ENCARGOS COMPLEMENTARES</t>
  </si>
  <si>
    <t>INFRAESTRUTURA</t>
  </si>
  <si>
    <t>COMPOSIÇÃO PROPRIA</t>
  </si>
  <si>
    <t>TCPO 17010.8.1.10</t>
  </si>
  <si>
    <t>MONTADOR COM ENCARGOS COMPLEMENTARES</t>
  </si>
  <si>
    <t>adaptada TCPO 
17010.8.1.10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</si>
  <si>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até 10 m</t>
    </r>
  </si>
  <si>
    <t>AUXILIAR DE ELETRICISTA COM ENCARGOS COMPLEMENTARES</t>
  </si>
  <si>
    <t>ELETRICISTA COM ENCARGOS COMPLEMENTARES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</si>
  <si>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10m e 20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</si>
  <si>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20m e 30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</si>
  <si>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acima de 30 m</t>
    </r>
  </si>
  <si>
    <t>MATERIAL ELÉTRICO</t>
  </si>
  <si>
    <t>(SINAPI)</t>
  </si>
  <si>
    <t>Eletricista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</si>
  <si>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</si>
  <si>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</si>
  <si>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</si>
  <si>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</si>
  <si>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</si>
  <si>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</si>
  <si>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</si>
  <si>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</si>
  <si>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</si>
  <si>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</si>
  <si>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</si>
  <si>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</si>
  <si>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</si>
  <si>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</si>
  <si>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MATERIAL</t>
  </si>
  <si>
    <t>MÃO DE OBRA</t>
  </si>
  <si>
    <t>3,0% SOBRE O VALOR DA MÃO DE OBRA</t>
  </si>
  <si>
    <t>ISS 5% sobre serviços</t>
  </si>
  <si>
    <t>COTAÇÃO 01</t>
  </si>
  <si>
    <t>COTAÇÃO 02</t>
  </si>
  <si>
    <t>COTAÇÃO 03</t>
  </si>
  <si>
    <t>MÉDIA</t>
  </si>
  <si>
    <t>MEDIANA</t>
  </si>
  <si>
    <t>MENOR VALOR ENTRE MÉDIA E MEDIANA</t>
  </si>
  <si>
    <t>FORNECEDOR</t>
  </si>
  <si>
    <t>RENOVAR CAÇAMBAS</t>
  </si>
  <si>
    <t>TRANSDETRITOS</t>
  </si>
  <si>
    <t>Forte Caçambas</t>
  </si>
  <si>
    <t>ELETROFRIGOR (https://www.eletrofrigor.com.br/produto/bomba-dreno-ar-condicionado-split-30000-a-60000-btus-220v-37-l-h-maxi-orange-aspen-pumps-298)</t>
  </si>
  <si>
    <t>CLIMAT   (https://www.climatamericana.com.br/MLB-2608281865-bomba-de-dreno-37lh-orange-ar-condicionado-max-orange-30a60-_JM)</t>
  </si>
  <si>
    <t>MAGALU (https://www.magazineluiza.com.br/bomba-de-dreno-maxi-orange-ar-condicionado-split-30-36-48-60-btus-elgin-220v-37-litros-hora/p/kdf9j6e7g7/ar/aave/)</t>
  </si>
  <si>
    <t>Gás refrigerante - R 410a 
(a cotação anexa refere-se ao cilindro com 11,30kg)</t>
  </si>
  <si>
    <t>Frigelar
R$ 475,02/11,30kg</t>
  </si>
  <si>
    <t>Dufrio
R$ 660,56/11,30kg</t>
  </si>
  <si>
    <t>City Master
R$ 815,75/11,30kg</t>
  </si>
  <si>
    <t>Frigelar 
R$ 2,52/2m</t>
  </si>
  <si>
    <t>Itália Clima
R$ 4,46/2m</t>
  </si>
  <si>
    <t>Artech - Magalu
R$ 3,90/2m</t>
  </si>
  <si>
    <t>Frigelar 
R$ 2,88/2m</t>
  </si>
  <si>
    <t>Itália Clima
R$ 5,80/2m</t>
  </si>
  <si>
    <t>Frio Peças - Magalu
R$ 2,42/2m</t>
  </si>
  <si>
    <t>Refriton</t>
  </si>
  <si>
    <t>Eletrobahia (magalu)
R$ 950/100m</t>
  </si>
  <si>
    <t>Shopping Econ (mercado livre)
R$ 66,27/10m</t>
  </si>
  <si>
    <t>MAPA DE COTAÇÕES - LOTE 03 - CURITIBA</t>
  </si>
  <si>
    <t>Cálculo do BDI
LOTE 02 - SETORIAL CURITIBA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</si>
</sst>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_-;\-* #,##0.00_-;_-* \-??_-;_-@_-"/>
    <numFmt numFmtId="166" formatCode="&quot;R$ &quot;#,##0.00;&quot;-R$ &quot;#,##0.00"/>
    <numFmt numFmtId="167" formatCode="_-&quot;R$ &quot;* #,##0.00_-;&quot;-R$ &quot;* #,##0.00_-;_-&quot;R$ &quot;* \-??_-;_-@_-"/>
  </numFmts>
  <fonts count="3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sz val="8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9"/>
      <color theme="1"/>
      <name val="Calibri"/>
      <family val="2"/>
      <charset val="1"/>
    </font>
    <font>
      <sz val="9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b/>
      <sz val="16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8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8"/>
      <name val="Arial"/>
      <family val="2"/>
      <charset val="1"/>
    </font>
    <font>
      <b/>
      <sz val="8"/>
      <color rgb="FFFF0000"/>
      <name val="Arial"/>
      <family val="2"/>
      <charset val="1"/>
    </font>
    <font>
      <sz val="15"/>
      <color theme="1"/>
      <name val="Calibri"/>
      <family val="2"/>
      <charset val="1"/>
    </font>
    <font>
      <b/>
      <sz val="15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theme="1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rgb="FFE7E6E6"/>
      </patternFill>
    </fill>
    <fill>
      <patternFill patternType="solid">
        <fgColor theme="0"/>
        <bgColor rgb="FFF2F2F2"/>
      </patternFill>
    </fill>
    <fill>
      <patternFill patternType="solid">
        <fgColor rgb="FFFFFFCC"/>
        <bgColor rgb="FFFFF2CC"/>
      </patternFill>
    </fill>
    <fill>
      <patternFill patternType="solid">
        <fgColor rgb="FFCCCCCC"/>
        <bgColor rgb="FFBFBFBF"/>
      </patternFill>
    </fill>
    <fill>
      <patternFill patternType="solid">
        <fgColor rgb="FFFFCC99"/>
        <bgColor rgb="FFFFDB69"/>
      </patternFill>
    </fill>
    <fill>
      <patternFill patternType="solid">
        <fgColor rgb="FFBFBFBF"/>
        <bgColor rgb="FFCCCCCC"/>
      </patternFill>
    </fill>
    <fill>
      <patternFill patternType="solid">
        <fgColor theme="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5" tint="0.79989013336588644"/>
        <bgColor rgb="FFFFF2CC"/>
      </patternFill>
    </fill>
    <fill>
      <patternFill patternType="solid">
        <fgColor theme="7" tint="0.59987182226020086"/>
        <bgColor rgb="FFFFDB69"/>
      </patternFill>
    </fill>
    <fill>
      <patternFill patternType="solid">
        <fgColor rgb="FFFFDB69"/>
        <bgColor rgb="FFFFE699"/>
      </patternFill>
    </fill>
    <fill>
      <patternFill patternType="solid">
        <fgColor theme="7" tint="0.79989013336588644"/>
        <bgColor rgb="FFFFFFCC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35" fillId="0" borderId="0" applyBorder="0" applyProtection="0"/>
    <xf numFmtId="167" fontId="35" fillId="0" borderId="0" applyBorder="0" applyProtection="0"/>
    <xf numFmtId="0" fontId="35" fillId="0" borderId="0"/>
    <xf numFmtId="0" fontId="1" fillId="0" borderId="0"/>
    <xf numFmtId="9" fontId="35" fillId="0" borderId="0" applyBorder="0" applyProtection="0"/>
  </cellStyleXfs>
  <cellXfs count="233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Alignment="1" applyProtection="1"/>
    <xf numFmtId="0" fontId="2" fillId="0" borderId="0" xfId="0" applyFont="1" applyAlignment="1" applyProtection="1"/>
    <xf numFmtId="0" fontId="4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/>
    <xf numFmtId="0" fontId="0" fillId="3" borderId="0" xfId="0" applyFill="1" applyAlignment="1" applyProtection="1"/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2" fontId="6" fillId="0" borderId="2" xfId="0" applyNumberFormat="1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/>
    </xf>
    <xf numFmtId="166" fontId="6" fillId="0" borderId="2" xfId="1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166" fontId="7" fillId="0" borderId="0" xfId="0" applyNumberFormat="1" applyFont="1" applyBorder="1" applyAlignment="1" applyProtection="1"/>
    <xf numFmtId="0" fontId="0" fillId="0" borderId="1" xfId="0" applyFont="1" applyBorder="1" applyAlignment="1" applyProtection="1"/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/>
    <xf numFmtId="0" fontId="0" fillId="0" borderId="0" xfId="0" applyFont="1" applyAlignment="1" applyProtection="1"/>
    <xf numFmtId="0" fontId="4" fillId="0" borderId="1" xfId="0" applyFont="1" applyBorder="1" applyAlignment="1" applyProtection="1"/>
    <xf numFmtId="0" fontId="9" fillId="4" borderId="8" xfId="0" applyFont="1" applyFill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center"/>
    </xf>
    <xf numFmtId="2" fontId="10" fillId="4" borderId="0" xfId="0" applyNumberFormat="1" applyFont="1" applyFill="1" applyBorder="1" applyAlignment="1" applyProtection="1">
      <alignment horizontal="center"/>
    </xf>
    <xf numFmtId="2" fontId="10" fillId="4" borderId="0" xfId="0" applyNumberFormat="1" applyFont="1" applyFill="1" applyBorder="1" applyAlignment="1" applyProtection="1"/>
    <xf numFmtId="2" fontId="9" fillId="4" borderId="0" xfId="0" applyNumberFormat="1" applyFont="1" applyFill="1" applyBorder="1" applyAlignment="1" applyProtection="1">
      <alignment horizontal="left"/>
    </xf>
    <xf numFmtId="10" fontId="10" fillId="4" borderId="0" xfId="0" applyNumberFormat="1" applyFont="1" applyFill="1" applyBorder="1" applyAlignment="1" applyProtection="1">
      <alignment horizontal="left" vertical="center"/>
    </xf>
    <xf numFmtId="4" fontId="10" fillId="4" borderId="9" xfId="0" applyNumberFormat="1" applyFont="1" applyFill="1" applyBorder="1" applyAlignment="1" applyProtection="1">
      <alignment horizontal="left"/>
    </xf>
    <xf numFmtId="4" fontId="4" fillId="0" borderId="7" xfId="0" applyNumberFormat="1" applyFont="1" applyBorder="1" applyAlignment="1" applyProtection="1">
      <alignment vertical="center"/>
    </xf>
    <xf numFmtId="4" fontId="0" fillId="0" borderId="7" xfId="0" applyNumberFormat="1" applyFont="1" applyBorder="1" applyAlignment="1" applyProtection="1">
      <alignment vertical="center"/>
    </xf>
    <xf numFmtId="164" fontId="0" fillId="0" borderId="7" xfId="0" applyNumberFormat="1" applyFont="1" applyBorder="1" applyAlignment="1" applyProtection="1">
      <alignment vertical="center"/>
    </xf>
    <xf numFmtId="0" fontId="9" fillId="4" borderId="9" xfId="0" applyFont="1" applyFill="1" applyBorder="1" applyAlignment="1" applyProtection="1">
      <alignment horizontal="left" vertical="center"/>
    </xf>
    <xf numFmtId="17" fontId="10" fillId="4" borderId="0" xfId="0" applyNumberFormat="1" applyFont="1" applyFill="1" applyBorder="1" applyAlignment="1" applyProtection="1">
      <alignment horizontal="left" vertical="center"/>
    </xf>
    <xf numFmtId="0" fontId="9" fillId="4" borderId="10" xfId="0" applyFont="1" applyFill="1" applyBorder="1" applyAlignment="1" applyProtection="1">
      <alignment horizontal="left" vertical="center"/>
    </xf>
    <xf numFmtId="0" fontId="9" fillId="4" borderId="11" xfId="0" applyFont="1" applyFill="1" applyBorder="1" applyAlignment="1" applyProtection="1">
      <alignment horizontal="left" vertical="center"/>
    </xf>
    <xf numFmtId="17" fontId="10" fillId="4" borderId="11" xfId="0" applyNumberFormat="1" applyFont="1" applyFill="1" applyBorder="1" applyAlignment="1" applyProtection="1">
      <alignment horizontal="left" vertical="center"/>
    </xf>
    <xf numFmtId="0" fontId="9" fillId="4" borderId="12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4" fontId="10" fillId="3" borderId="0" xfId="0" applyNumberFormat="1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/>
    </xf>
    <xf numFmtId="2" fontId="9" fillId="3" borderId="0" xfId="0" applyNumberFormat="1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/>
    <xf numFmtId="2" fontId="9" fillId="3" borderId="0" xfId="0" applyNumberFormat="1" applyFont="1" applyFill="1" applyBorder="1" applyAlignment="1" applyProtection="1">
      <alignment horizontal="right"/>
    </xf>
    <xf numFmtId="2" fontId="10" fillId="3" borderId="0" xfId="0" applyNumberFormat="1" applyFont="1" applyFill="1" applyBorder="1" applyAlignment="1" applyProtection="1">
      <alignment horizontal="left"/>
    </xf>
    <xf numFmtId="2" fontId="11" fillId="6" borderId="7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4" fontId="14" fillId="3" borderId="0" xfId="0" applyNumberFormat="1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center" vertical="center"/>
    </xf>
    <xf numFmtId="2" fontId="13" fillId="3" borderId="0" xfId="0" applyNumberFormat="1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/>
    <xf numFmtId="2" fontId="15" fillId="3" borderId="0" xfId="0" applyNumberFormat="1" applyFont="1" applyFill="1" applyBorder="1" applyAlignment="1" applyProtection="1"/>
    <xf numFmtId="2" fontId="16" fillId="3" borderId="0" xfId="0" applyNumberFormat="1" applyFont="1" applyFill="1" applyBorder="1" applyAlignment="1" applyProtection="1"/>
    <xf numFmtId="2" fontId="13" fillId="3" borderId="0" xfId="0" applyNumberFormat="1" applyFont="1" applyFill="1" applyBorder="1" applyAlignment="1" applyProtection="1">
      <alignment horizontal="right"/>
    </xf>
    <xf numFmtId="2" fontId="15" fillId="3" borderId="0" xfId="0" applyNumberFormat="1" applyFont="1" applyFill="1" applyBorder="1" applyAlignment="1" applyProtection="1">
      <alignment horizontal="left"/>
    </xf>
    <xf numFmtId="4" fontId="15" fillId="3" borderId="0" xfId="0" applyNumberFormat="1" applyFont="1" applyFill="1" applyBorder="1" applyAlignment="1" applyProtection="1">
      <alignment horizontal="left"/>
    </xf>
    <xf numFmtId="0" fontId="17" fillId="4" borderId="16" xfId="0" applyFont="1" applyFill="1" applyBorder="1" applyAlignment="1" applyProtection="1">
      <alignment horizontal="center" vertical="top"/>
    </xf>
    <xf numFmtId="0" fontId="9" fillId="4" borderId="7" xfId="0" applyFont="1" applyFill="1" applyBorder="1" applyAlignment="1" applyProtection="1">
      <alignment horizontal="center" vertical="top"/>
    </xf>
    <xf numFmtId="0" fontId="9" fillId="4" borderId="1" xfId="0" applyFont="1" applyFill="1" applyBorder="1" applyAlignment="1" applyProtection="1">
      <alignment horizontal="center" vertical="top"/>
    </xf>
    <xf numFmtId="0" fontId="17" fillId="4" borderId="7" xfId="0" applyFont="1" applyFill="1" applyBorder="1" applyAlignment="1" applyProtection="1">
      <alignment vertical="top" wrapText="1"/>
    </xf>
    <xf numFmtId="0" fontId="17" fillId="4" borderId="7" xfId="0" applyFont="1" applyFill="1" applyBorder="1" applyAlignment="1" applyProtection="1">
      <alignment horizontal="center" vertical="top"/>
    </xf>
    <xf numFmtId="2" fontId="17" fillId="4" borderId="7" xfId="0" applyNumberFormat="1" applyFont="1" applyFill="1" applyBorder="1" applyAlignment="1" applyProtection="1">
      <alignment horizontal="center" vertical="top"/>
    </xf>
    <xf numFmtId="2" fontId="17" fillId="4" borderId="7" xfId="0" applyNumberFormat="1" applyFont="1" applyFill="1" applyBorder="1" applyAlignment="1" applyProtection="1">
      <alignment vertical="top"/>
    </xf>
    <xf numFmtId="4" fontId="17" fillId="4" borderId="17" xfId="0" applyNumberFormat="1" applyFont="1" applyFill="1" applyBorder="1" applyAlignment="1" applyProtection="1">
      <alignment vertical="top"/>
    </xf>
    <xf numFmtId="0" fontId="18" fillId="0" borderId="16" xfId="0" applyFont="1" applyBorder="1" applyAlignment="1" applyProtection="1">
      <alignment horizontal="center"/>
    </xf>
    <xf numFmtId="0" fontId="18" fillId="0" borderId="7" xfId="0" applyFont="1" applyBorder="1" applyAlignment="1" applyProtection="1">
      <alignment horizontal="center"/>
    </xf>
    <xf numFmtId="0" fontId="18" fillId="0" borderId="1" xfId="0" applyFont="1" applyBorder="1" applyAlignment="1" applyProtection="1">
      <alignment horizontal="center"/>
    </xf>
    <xf numFmtId="0" fontId="18" fillId="0" borderId="7" xfId="0" applyFont="1" applyBorder="1" applyAlignment="1" applyProtection="1"/>
    <xf numFmtId="2" fontId="18" fillId="0" borderId="7" xfId="0" applyNumberFormat="1" applyFont="1" applyBorder="1" applyAlignment="1" applyProtection="1">
      <alignment horizontal="center"/>
    </xf>
    <xf numFmtId="2" fontId="19" fillId="3" borderId="7" xfId="0" applyNumberFormat="1" applyFont="1" applyFill="1" applyBorder="1" applyAlignment="1" applyProtection="1">
      <alignment vertical="top"/>
    </xf>
    <xf numFmtId="2" fontId="18" fillId="0" borderId="7" xfId="0" applyNumberFormat="1" applyFont="1" applyBorder="1" applyAlignment="1" applyProtection="1"/>
    <xf numFmtId="4" fontId="18" fillId="0" borderId="17" xfId="0" applyNumberFormat="1" applyFont="1" applyBorder="1" applyAlignment="1" applyProtection="1"/>
    <xf numFmtId="4" fontId="0" fillId="8" borderId="16" xfId="0" applyNumberFormat="1" applyFont="1" applyFill="1" applyBorder="1" applyAlignment="1" applyProtection="1">
      <alignment horizontal="center" vertical="center" wrapText="1"/>
    </xf>
    <xf numFmtId="0" fontId="0" fillId="8" borderId="7" xfId="0" applyFill="1" applyBorder="1" applyAlignment="1" applyProtection="1">
      <alignment horizontal="center" vertical="center"/>
    </xf>
    <xf numFmtId="4" fontId="0" fillId="8" borderId="1" xfId="0" applyNumberFormat="1" applyFont="1" applyFill="1" applyBorder="1" applyAlignment="1" applyProtection="1">
      <alignment horizontal="center" vertical="center"/>
    </xf>
    <xf numFmtId="4" fontId="0" fillId="8" borderId="7" xfId="0" applyNumberFormat="1" applyFont="1" applyFill="1" applyBorder="1" applyAlignment="1" applyProtection="1">
      <alignment vertical="center" wrapText="1"/>
    </xf>
    <xf numFmtId="4" fontId="0" fillId="8" borderId="7" xfId="0" applyNumberFormat="1" applyFont="1" applyFill="1" applyBorder="1" applyAlignment="1" applyProtection="1">
      <alignment horizontal="center" vertical="center"/>
    </xf>
    <xf numFmtId="4" fontId="20" fillId="8" borderId="7" xfId="0" applyNumberFormat="1" applyFont="1" applyFill="1" applyBorder="1" applyAlignment="1" applyProtection="1">
      <alignment horizontal="right" vertical="center"/>
    </xf>
    <xf numFmtId="4" fontId="0" fillId="8" borderId="7" xfId="0" applyNumberFormat="1" applyFill="1" applyBorder="1" applyAlignment="1" applyProtection="1">
      <alignment vertical="center"/>
    </xf>
    <xf numFmtId="4" fontId="0" fillId="8" borderId="17" xfId="0" applyNumberFormat="1" applyFill="1" applyBorder="1" applyAlignment="1" applyProtection="1">
      <alignment vertical="center"/>
    </xf>
    <xf numFmtId="4" fontId="0" fillId="0" borderId="0" xfId="0" applyNumberFormat="1" applyFont="1" applyAlignment="1" applyProtection="1"/>
    <xf numFmtId="4" fontId="21" fillId="3" borderId="16" xfId="0" applyNumberFormat="1" applyFont="1" applyFill="1" applyBorder="1" applyAlignment="1" applyProtection="1">
      <alignment horizontal="center" vertical="center"/>
    </xf>
    <xf numFmtId="4" fontId="21" fillId="3" borderId="7" xfId="0" applyNumberFormat="1" applyFont="1" applyFill="1" applyBorder="1" applyAlignment="1" applyProtection="1">
      <alignment horizontal="center" vertical="center"/>
    </xf>
    <xf numFmtId="4" fontId="21" fillId="3" borderId="1" xfId="0" applyNumberFormat="1" applyFont="1" applyFill="1" applyBorder="1" applyAlignment="1" applyProtection="1">
      <alignment horizontal="center" vertical="center"/>
    </xf>
    <xf numFmtId="4" fontId="21" fillId="3" borderId="7" xfId="0" applyNumberFormat="1" applyFont="1" applyFill="1" applyBorder="1" applyAlignment="1" applyProtection="1">
      <alignment vertical="center"/>
    </xf>
    <xf numFmtId="4" fontId="22" fillId="3" borderId="7" xfId="0" applyNumberFormat="1" applyFont="1" applyFill="1" applyBorder="1" applyAlignment="1" applyProtection="1">
      <alignment horizontal="right" vertical="center"/>
    </xf>
    <xf numFmtId="4" fontId="0" fillId="0" borderId="7" xfId="0" applyNumberFormat="1" applyBorder="1" applyAlignment="1" applyProtection="1">
      <alignment vertical="center"/>
    </xf>
    <xf numFmtId="4" fontId="14" fillId="3" borderId="7" xfId="0" applyNumberFormat="1" applyFont="1" applyFill="1" applyBorder="1" applyAlignment="1" applyProtection="1">
      <alignment vertical="center"/>
    </xf>
    <xf numFmtId="4" fontId="0" fillId="0" borderId="17" xfId="0" applyNumberFormat="1" applyBorder="1" applyAlignment="1" applyProtection="1">
      <alignment vertical="center"/>
    </xf>
    <xf numFmtId="4" fontId="19" fillId="3" borderId="16" xfId="0" applyNumberFormat="1" applyFont="1" applyFill="1" applyBorder="1" applyAlignment="1" applyProtection="1">
      <alignment horizontal="center" vertical="center" wrapText="1"/>
    </xf>
    <xf numFmtId="0" fontId="19" fillId="3" borderId="7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/>
    <xf numFmtId="4" fontId="19" fillId="3" borderId="7" xfId="0" applyNumberFormat="1" applyFont="1" applyFill="1" applyBorder="1" applyAlignment="1" applyProtection="1">
      <alignment vertical="center" wrapText="1"/>
    </xf>
    <xf numFmtId="4" fontId="19" fillId="3" borderId="7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Border="1" applyAlignment="1" applyProtection="1">
      <alignment horizontal="right"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4" fontId="18" fillId="0" borderId="7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4" fontId="19" fillId="0" borderId="1" xfId="0" applyNumberFormat="1" applyFont="1" applyBorder="1" applyAlignment="1" applyProtection="1">
      <alignment horizontal="center" vertical="center"/>
    </xf>
    <xf numFmtId="0" fontId="19" fillId="0" borderId="7" xfId="0" applyFont="1" applyBorder="1" applyAlignment="1" applyProtection="1">
      <alignment horizontal="center" vertical="center" wrapText="1"/>
    </xf>
    <xf numFmtId="0" fontId="0" fillId="9" borderId="1" xfId="0" applyFont="1" applyFill="1" applyBorder="1" applyAlignment="1" applyProtection="1">
      <alignment horizontal="center" wrapText="1"/>
    </xf>
    <xf numFmtId="4" fontId="18" fillId="0" borderId="16" xfId="0" applyNumberFormat="1" applyFont="1" applyBorder="1" applyAlignment="1" applyProtection="1">
      <alignment horizontal="center" vertical="center"/>
    </xf>
    <xf numFmtId="4" fontId="18" fillId="0" borderId="7" xfId="0" applyNumberFormat="1" applyFont="1" applyBorder="1" applyAlignment="1" applyProtection="1">
      <alignment horizontal="center" vertical="center"/>
    </xf>
    <xf numFmtId="4" fontId="1" fillId="3" borderId="7" xfId="0" applyNumberFormat="1" applyFont="1" applyFill="1" applyBorder="1" applyAlignment="1" applyProtection="1">
      <alignment horizontal="center" vertical="center"/>
    </xf>
    <xf numFmtId="4" fontId="1" fillId="3" borderId="7" xfId="0" applyNumberFormat="1" applyFont="1" applyFill="1" applyBorder="1" applyAlignment="1" applyProtection="1">
      <alignment horizontal="right" vertical="center"/>
    </xf>
    <xf numFmtId="4" fontId="18" fillId="0" borderId="16" xfId="0" applyNumberFormat="1" applyFont="1" applyBorder="1" applyAlignment="1" applyProtection="1">
      <alignment horizontal="center"/>
    </xf>
    <xf numFmtId="4" fontId="18" fillId="0" borderId="1" xfId="0" applyNumberFormat="1" applyFont="1" applyBorder="1" applyAlignment="1" applyProtection="1">
      <alignment horizontal="center"/>
    </xf>
    <xf numFmtId="4" fontId="18" fillId="0" borderId="7" xfId="0" applyNumberFormat="1" applyFont="1" applyBorder="1" applyAlignment="1" applyProtection="1"/>
    <xf numFmtId="4" fontId="18" fillId="0" borderId="7" xfId="0" applyNumberFormat="1" applyFont="1" applyBorder="1" applyAlignment="1" applyProtection="1">
      <alignment horizontal="center"/>
    </xf>
    <xf numFmtId="4" fontId="23" fillId="0" borderId="7" xfId="0" applyNumberFormat="1" applyFont="1" applyBorder="1" applyAlignment="1" applyProtection="1">
      <alignment horizontal="right"/>
    </xf>
    <xf numFmtId="0" fontId="19" fillId="10" borderId="7" xfId="0" applyFont="1" applyFill="1" applyBorder="1" applyAlignment="1" applyProtection="1">
      <alignment horizontal="center" vertical="center"/>
    </xf>
    <xf numFmtId="4" fontId="0" fillId="9" borderId="16" xfId="0" applyNumberFormat="1" applyFont="1" applyFill="1" applyBorder="1" applyAlignment="1" applyProtection="1">
      <alignment horizontal="center" vertical="center" wrapText="1"/>
    </xf>
    <xf numFmtId="4" fontId="23" fillId="8" borderId="7" xfId="0" applyNumberFormat="1" applyFont="1" applyFill="1" applyBorder="1" applyAlignment="1" applyProtection="1">
      <alignment horizontal="right" vertical="center"/>
    </xf>
    <xf numFmtId="4" fontId="4" fillId="8" borderId="7" xfId="0" applyNumberFormat="1" applyFont="1" applyFill="1" applyBorder="1" applyAlignment="1" applyProtection="1">
      <alignment horizontal="center" vertical="center"/>
    </xf>
    <xf numFmtId="4" fontId="1" fillId="3" borderId="16" xfId="0" applyNumberFormat="1" applyFont="1" applyFill="1" applyBorder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/>
    </xf>
    <xf numFmtId="4" fontId="25" fillId="0" borderId="1" xfId="0" applyNumberFormat="1" applyFont="1" applyBorder="1" applyAlignment="1" applyProtection="1">
      <alignment horizontal="center" vertical="top"/>
    </xf>
    <xf numFmtId="4" fontId="1" fillId="3" borderId="7" xfId="0" applyNumberFormat="1" applyFont="1" applyFill="1" applyBorder="1" applyAlignment="1" applyProtection="1">
      <alignment vertical="top"/>
    </xf>
    <xf numFmtId="4" fontId="1" fillId="3" borderId="7" xfId="0" applyNumberFormat="1" applyFont="1" applyFill="1" applyBorder="1" applyAlignment="1" applyProtection="1">
      <alignment horizontal="center" vertical="top"/>
    </xf>
    <xf numFmtId="4" fontId="22" fillId="3" borderId="7" xfId="0" applyNumberFormat="1" applyFont="1" applyFill="1" applyBorder="1" applyAlignment="1" applyProtection="1">
      <alignment horizontal="right" vertical="top"/>
    </xf>
    <xf numFmtId="4" fontId="26" fillId="0" borderId="7" xfId="0" applyNumberFormat="1" applyFont="1" applyBorder="1" applyAlignment="1" applyProtection="1">
      <alignment horizontal="right" vertical="top"/>
    </xf>
    <xf numFmtId="4" fontId="17" fillId="4" borderId="16" xfId="0" applyNumberFormat="1" applyFont="1" applyFill="1" applyBorder="1" applyAlignment="1" applyProtection="1">
      <alignment horizontal="center" vertical="top"/>
    </xf>
    <xf numFmtId="4" fontId="17" fillId="4" borderId="7" xfId="0" applyNumberFormat="1" applyFont="1" applyFill="1" applyBorder="1" applyAlignment="1" applyProtection="1">
      <alignment vertical="top" wrapText="1"/>
    </xf>
    <xf numFmtId="4" fontId="17" fillId="4" borderId="7" xfId="0" applyNumberFormat="1" applyFont="1" applyFill="1" applyBorder="1" applyAlignment="1" applyProtection="1">
      <alignment horizontal="center" vertical="top"/>
    </xf>
    <xf numFmtId="4" fontId="27" fillId="4" borderId="7" xfId="0" applyNumberFormat="1" applyFont="1" applyFill="1" applyBorder="1" applyAlignment="1" applyProtection="1">
      <alignment horizontal="right" vertical="top"/>
    </xf>
    <xf numFmtId="4" fontId="19" fillId="3" borderId="7" xfId="0" applyNumberFormat="1" applyFont="1" applyFill="1" applyBorder="1" applyAlignment="1" applyProtection="1">
      <alignment vertical="top"/>
    </xf>
    <xf numFmtId="4" fontId="28" fillId="3" borderId="7" xfId="0" applyNumberFormat="1" applyFont="1" applyFill="1" applyBorder="1" applyAlignment="1" applyProtection="1">
      <alignment vertical="center"/>
    </xf>
    <xf numFmtId="4" fontId="19" fillId="9" borderId="16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/>
    </xf>
    <xf numFmtId="4" fontId="21" fillId="3" borderId="16" xfId="0" applyNumberFormat="1" applyFont="1" applyFill="1" applyBorder="1" applyAlignment="1" applyProtection="1">
      <alignment horizontal="center" vertical="top"/>
    </xf>
    <xf numFmtId="0" fontId="30" fillId="3" borderId="7" xfId="0" applyFont="1" applyFill="1" applyBorder="1" applyAlignment="1" applyProtection="1">
      <alignment horizontal="center" vertical="top"/>
    </xf>
    <xf numFmtId="4" fontId="30" fillId="3" borderId="1" xfId="0" applyNumberFormat="1" applyFont="1" applyFill="1" applyBorder="1" applyAlignment="1" applyProtection="1">
      <alignment horizontal="center" vertical="top"/>
    </xf>
    <xf numFmtId="4" fontId="21" fillId="3" borderId="7" xfId="0" applyNumberFormat="1" applyFont="1" applyFill="1" applyBorder="1" applyAlignment="1" applyProtection="1">
      <alignment vertical="top"/>
    </xf>
    <xf numFmtId="4" fontId="21" fillId="3" borderId="7" xfId="0" applyNumberFormat="1" applyFont="1" applyFill="1" applyBorder="1" applyAlignment="1" applyProtection="1">
      <alignment horizontal="center" vertical="top"/>
    </xf>
    <xf numFmtId="4" fontId="31" fillId="3" borderId="7" xfId="0" applyNumberFormat="1" applyFont="1" applyFill="1" applyBorder="1" applyAlignment="1" applyProtection="1">
      <alignment horizontal="right" vertical="top"/>
    </xf>
    <xf numFmtId="4" fontId="14" fillId="3" borderId="7" xfId="0" applyNumberFormat="1" applyFont="1" applyFill="1" applyBorder="1" applyAlignment="1" applyProtection="1">
      <alignment vertical="top"/>
    </xf>
    <xf numFmtId="4" fontId="0" fillId="0" borderId="17" xfId="0" applyNumberFormat="1" applyBorder="1" applyAlignment="1" applyProtection="1"/>
    <xf numFmtId="0" fontId="0" fillId="8" borderId="7" xfId="0" applyFont="1" applyFill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/>
    </xf>
    <xf numFmtId="0" fontId="19" fillId="0" borderId="7" xfId="0" applyFont="1" applyBorder="1" applyAlignment="1" applyProtection="1">
      <alignment horizontal="center" vertical="center"/>
    </xf>
    <xf numFmtId="4" fontId="19" fillId="0" borderId="7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horizontal="center" vertical="center"/>
    </xf>
    <xf numFmtId="4" fontId="19" fillId="0" borderId="7" xfId="0" applyNumberFormat="1" applyFont="1" applyBorder="1" applyAlignment="1" applyProtection="1">
      <alignment horizontal="right" vertical="center"/>
    </xf>
    <xf numFmtId="4" fontId="19" fillId="8" borderId="7" xfId="0" applyNumberFormat="1" applyFont="1" applyFill="1" applyBorder="1" applyAlignment="1" applyProtection="1">
      <alignment vertical="center" wrapText="1"/>
    </xf>
    <xf numFmtId="4" fontId="19" fillId="10" borderId="7" xfId="0" applyNumberFormat="1" applyFont="1" applyFill="1" applyBorder="1" applyAlignment="1" applyProtection="1">
      <alignment vertical="center"/>
    </xf>
    <xf numFmtId="0" fontId="32" fillId="11" borderId="18" xfId="0" applyFont="1" applyFill="1" applyBorder="1" applyAlignment="1" applyProtection="1">
      <alignment vertical="center"/>
    </xf>
    <xf numFmtId="0" fontId="32" fillId="11" borderId="19" xfId="0" applyFont="1" applyFill="1" applyBorder="1" applyAlignment="1" applyProtection="1">
      <alignment vertical="center"/>
    </xf>
    <xf numFmtId="0" fontId="32" fillId="11" borderId="1" xfId="0" applyFont="1" applyFill="1" applyBorder="1" applyAlignment="1" applyProtection="1">
      <alignment vertical="center"/>
    </xf>
    <xf numFmtId="4" fontId="33" fillId="11" borderId="19" xfId="0" applyNumberFormat="1" applyFont="1" applyFill="1" applyBorder="1" applyAlignment="1" applyProtection="1">
      <alignment vertical="center"/>
    </xf>
    <xf numFmtId="4" fontId="33" fillId="11" borderId="20" xfId="0" applyNumberFormat="1" applyFont="1" applyFill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4" fontId="0" fillId="0" borderId="0" xfId="0" applyNumberFormat="1" applyAlignment="1" applyProtection="1"/>
    <xf numFmtId="0" fontId="0" fillId="0" borderId="0" xfId="3" applyFont="1" applyAlignment="1" applyProtection="1"/>
    <xf numFmtId="0" fontId="17" fillId="0" borderId="0" xfId="3" applyFont="1" applyAlignment="1" applyProtection="1"/>
    <xf numFmtId="0" fontId="1" fillId="0" borderId="8" xfId="3" applyFont="1" applyBorder="1" applyAlignment="1" applyProtection="1"/>
    <xf numFmtId="0" fontId="1" fillId="0" borderId="0" xfId="3" applyFont="1" applyAlignment="1" applyProtection="1"/>
    <xf numFmtId="0" fontId="1" fillId="0" borderId="9" xfId="3" applyFont="1" applyBorder="1" applyAlignment="1" applyProtection="1"/>
    <xf numFmtId="10" fontId="1" fillId="0" borderId="22" xfId="3" applyNumberFormat="1" applyFont="1" applyBorder="1" applyAlignment="1" applyProtection="1">
      <alignment horizontal="center" vertical="top"/>
    </xf>
    <xf numFmtId="10" fontId="1" fillId="0" borderId="23" xfId="3" applyNumberFormat="1" applyFont="1" applyBorder="1" applyAlignment="1" applyProtection="1">
      <alignment horizontal="center" vertical="top"/>
    </xf>
    <xf numFmtId="0" fontId="1" fillId="0" borderId="24" xfId="3" applyFont="1" applyBorder="1" applyAlignment="1" applyProtection="1">
      <alignment horizontal="justify" vertical="top" wrapText="1"/>
    </xf>
    <xf numFmtId="10" fontId="1" fillId="11" borderId="23" xfId="3" applyNumberFormat="1" applyFont="1" applyFill="1" applyBorder="1" applyAlignment="1" applyProtection="1">
      <alignment horizontal="center" vertical="top"/>
    </xf>
    <xf numFmtId="0" fontId="1" fillId="0" borderId="1" xfId="3" applyFont="1" applyBorder="1" applyAlignment="1" applyProtection="1">
      <alignment horizontal="justify"/>
    </xf>
    <xf numFmtId="0" fontId="1" fillId="0" borderId="8" xfId="3" applyFont="1" applyBorder="1" applyAlignment="1" applyProtection="1">
      <alignment horizontal="justify"/>
    </xf>
    <xf numFmtId="10" fontId="1" fillId="11" borderId="1" xfId="5" applyNumberFormat="1" applyFont="1" applyFill="1" applyBorder="1" applyAlignment="1" applyProtection="1">
      <alignment horizontal="center"/>
    </xf>
    <xf numFmtId="0" fontId="0" fillId="0" borderId="10" xfId="3" applyFont="1" applyBorder="1" applyAlignment="1" applyProtection="1"/>
    <xf numFmtId="0" fontId="0" fillId="0" borderId="11" xfId="3" applyFont="1" applyBorder="1" applyAlignment="1" applyProtection="1"/>
    <xf numFmtId="0" fontId="0" fillId="0" borderId="12" xfId="3" applyFont="1" applyBorder="1" applyAlignment="1" applyProtection="1"/>
    <xf numFmtId="0" fontId="1" fillId="0" borderId="14" xfId="3" applyFont="1" applyBorder="1" applyAlignment="1" applyProtection="1">
      <alignment horizontal="center"/>
    </xf>
    <xf numFmtId="0" fontId="1" fillId="0" borderId="15" xfId="3" applyFont="1" applyBorder="1" applyAlignment="1" applyProtection="1">
      <alignment horizontal="center"/>
    </xf>
    <xf numFmtId="0" fontId="0" fillId="0" borderId="7" xfId="3" applyFont="1" applyBorder="1" applyAlignment="1" applyProtection="1"/>
    <xf numFmtId="0" fontId="0" fillId="0" borderId="17" xfId="3" applyFont="1" applyBorder="1" applyAlignment="1" applyProtection="1"/>
    <xf numFmtId="165" fontId="0" fillId="0" borderId="7" xfId="3" applyNumberFormat="1" applyFont="1" applyBorder="1" applyAlignment="1" applyProtection="1"/>
    <xf numFmtId="165" fontId="0" fillId="0" borderId="17" xfId="3" applyNumberFormat="1" applyFont="1" applyBorder="1" applyAlignment="1" applyProtection="1"/>
    <xf numFmtId="165" fontId="0" fillId="0" borderId="19" xfId="3" applyNumberFormat="1" applyFont="1" applyBorder="1" applyAlignment="1" applyProtection="1"/>
    <xf numFmtId="165" fontId="0" fillId="0" borderId="20" xfId="3" applyNumberFormat="1" applyFont="1" applyBorder="1" applyAlignment="1" applyProtection="1"/>
    <xf numFmtId="0" fontId="0" fillId="0" borderId="5" xfId="3" applyFont="1" applyBorder="1" applyAlignment="1" applyProtection="1"/>
    <xf numFmtId="0" fontId="0" fillId="0" borderId="25" xfId="3" applyFont="1" applyBorder="1" applyAlignment="1" applyProtection="1"/>
    <xf numFmtId="0" fontId="1" fillId="0" borderId="26" xfId="3" applyFont="1" applyBorder="1" applyAlignment="1" applyProtection="1"/>
    <xf numFmtId="165" fontId="0" fillId="0" borderId="27" xfId="3" applyNumberFormat="1" applyFont="1" applyBorder="1" applyAlignment="1" applyProtection="1"/>
    <xf numFmtId="10" fontId="0" fillId="0" borderId="0" xfId="3" applyNumberFormat="1" applyFont="1" applyAlignment="1" applyProtection="1"/>
    <xf numFmtId="4" fontId="0" fillId="0" borderId="0" xfId="3" applyNumberFormat="1" applyFont="1" applyAlignment="1" applyProtection="1"/>
    <xf numFmtId="0" fontId="0" fillId="12" borderId="1" xfId="0" applyFont="1" applyFill="1" applyBorder="1" applyAlignment="1" applyProtection="1"/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/>
    <xf numFmtId="10" fontId="0" fillId="9" borderId="1" xfId="0" applyNumberFormat="1" applyFill="1" applyBorder="1" applyAlignment="1" applyProtection="1"/>
    <xf numFmtId="0" fontId="0" fillId="1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left" vertical="center" wrapText="1"/>
    </xf>
    <xf numFmtId="4" fontId="0" fillId="0" borderId="1" xfId="0" applyNumberFormat="1" applyFont="1" applyBorder="1" applyAlignment="1" applyProtection="1">
      <alignment horizontal="center" vertical="center"/>
    </xf>
    <xf numFmtId="167" fontId="0" fillId="0" borderId="1" xfId="2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4" fontId="0" fillId="0" borderId="1" xfId="0" applyNumberFormat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horizontal="right"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Font="1" applyBorder="1" applyAlignment="1" applyProtection="1">
      <alignment vertical="center" wrapText="1"/>
    </xf>
    <xf numFmtId="49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0" fontId="8" fillId="4" borderId="6" xfId="0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left" vertical="center"/>
    </xf>
    <xf numFmtId="0" fontId="9" fillId="4" borderId="11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2" fontId="11" fillId="6" borderId="14" xfId="0" applyNumberFormat="1" applyFont="1" applyFill="1" applyBorder="1" applyAlignment="1" applyProtection="1">
      <alignment horizontal="center" vertical="center" wrapText="1"/>
    </xf>
    <xf numFmtId="4" fontId="4" fillId="7" borderId="7" xfId="1" applyNumberFormat="1" applyFont="1" applyFill="1" applyBorder="1" applyAlignment="1" applyProtection="1">
      <alignment horizontal="center" vertical="center" wrapText="1"/>
    </xf>
    <xf numFmtId="4" fontId="11" fillId="6" borderId="15" xfId="0" applyNumberFormat="1" applyFont="1" applyFill="1" applyBorder="1" applyAlignment="1" applyProtection="1">
      <alignment horizontal="center" vertical="center" wrapText="1"/>
    </xf>
    <xf numFmtId="0" fontId="17" fillId="11" borderId="1" xfId="3" applyFont="1" applyFill="1" applyBorder="1" applyAlignment="1" applyProtection="1">
      <alignment horizontal="center" vertical="center" wrapText="1"/>
    </xf>
    <xf numFmtId="0" fontId="1" fillId="0" borderId="21" xfId="3" applyFont="1" applyBorder="1" applyAlignment="1" applyProtection="1">
      <alignment horizontal="justify" vertical="top" wrapText="1"/>
    </xf>
    <xf numFmtId="10" fontId="1" fillId="0" borderId="1" xfId="3" applyNumberFormat="1" applyFont="1" applyBorder="1" applyAlignment="1" applyProtection="1">
      <alignment horizontal="center"/>
    </xf>
    <xf numFmtId="0" fontId="34" fillId="8" borderId="1" xfId="0" applyFont="1" applyFill="1" applyBorder="1" applyAlignment="1" applyProtection="1">
      <alignment horizontal="center" vertical="center" wrapText="1"/>
    </xf>
    <xf numFmtId="0" fontId="0" fillId="13" borderId="1" xfId="0" applyFont="1" applyFill="1" applyBorder="1" applyAlignment="1" applyProtection="1">
      <alignment horizontal="center" vertical="center" wrapText="1"/>
    </xf>
    <xf numFmtId="0" fontId="0" fillId="13" borderId="1" xfId="0" applyFont="1" applyFill="1" applyBorder="1" applyAlignment="1" applyProtection="1">
      <alignment horizontal="center" vertical="center"/>
    </xf>
  </cellXfs>
  <cellStyles count="6">
    <cellStyle name="Moeda" xfId="2" builtinId="4"/>
    <cellStyle name="Normal" xfId="0" builtinId="0"/>
    <cellStyle name="Normal 2" xfId="3"/>
    <cellStyle name="Normal 3" xfId="4"/>
    <cellStyle name="Porcentagem 2" xf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FFF2CC"/>
      <rgbColor rgb="FFFFE699"/>
      <rgbColor rgb="FF99CCFF"/>
      <rgbColor rgb="FFFBE5D6"/>
      <rgbColor rgb="FFCC99FF"/>
      <rgbColor rgb="FFFFCC99"/>
      <rgbColor rgb="FF3366FF"/>
      <rgbColor rgb="FF33CCCC"/>
      <rgbColor rgb="FF92D050"/>
      <rgbColor rgb="FFFFDB69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9" zoomScaleNormal="100" workbookViewId="0">
      <selection activeCell="G26" sqref="A1:G26"/>
    </sheetView>
  </sheetViews>
  <sheetFormatPr defaultColWidth="11.5703125" defaultRowHeight="15" x14ac:dyDescent="0.25"/>
  <cols>
    <col min="1" max="1" width="11.5703125" style="1"/>
    <col min="2" max="2" width="42.28515625" style="2" customWidth="1"/>
    <col min="3" max="4" width="11.5703125" style="1"/>
    <col min="5" max="5" width="11.5703125" style="3"/>
    <col min="6" max="7" width="11.5703125" style="4"/>
    <col min="8" max="16384" width="11.5703125" style="2"/>
  </cols>
  <sheetData>
    <row r="1" spans="1:7" x14ac:dyDescent="0.25">
      <c r="A1" s="209" t="s">
        <v>0</v>
      </c>
      <c r="B1" s="210"/>
      <c r="C1" s="210"/>
      <c r="D1" s="210"/>
      <c r="E1" s="210"/>
      <c r="F1" s="210"/>
      <c r="G1" s="210"/>
    </row>
    <row r="2" spans="1:7" x14ac:dyDescent="0.25">
      <c r="A2" s="197"/>
      <c r="B2" s="205"/>
      <c r="C2" s="197"/>
      <c r="D2" s="197"/>
      <c r="E2" s="193"/>
      <c r="F2" s="206"/>
      <c r="G2" s="206"/>
    </row>
    <row r="3" spans="1:7" x14ac:dyDescent="0.25">
      <c r="A3" s="197" t="s">
        <v>1</v>
      </c>
      <c r="B3" s="207" t="s">
        <v>2</v>
      </c>
      <c r="C3" s="197" t="s">
        <v>3</v>
      </c>
      <c r="D3" s="197" t="s">
        <v>4</v>
      </c>
      <c r="E3" s="193" t="s">
        <v>5</v>
      </c>
      <c r="F3" s="206" t="s">
        <v>6</v>
      </c>
      <c r="G3" s="206" t="s">
        <v>7</v>
      </c>
    </row>
    <row r="4" spans="1:7" ht="75" x14ac:dyDescent="0.25">
      <c r="A4" s="197" t="s">
        <v>8</v>
      </c>
      <c r="B4" s="207" t="s">
        <v>9</v>
      </c>
      <c r="C4" s="197" t="s">
        <v>10</v>
      </c>
      <c r="D4" s="197">
        <v>42</v>
      </c>
      <c r="E4" s="193">
        <v>211543.724197503</v>
      </c>
      <c r="F4" s="206">
        <f>E4/E26</f>
        <v>0.44839291359933353</v>
      </c>
      <c r="G4" s="206">
        <f>F4</f>
        <v>0.44839291359933353</v>
      </c>
    </row>
    <row r="5" spans="1:7" ht="75" x14ac:dyDescent="0.25">
      <c r="A5" s="197" t="s">
        <v>11</v>
      </c>
      <c r="B5" s="207" t="s">
        <v>12</v>
      </c>
      <c r="C5" s="197" t="s">
        <v>10</v>
      </c>
      <c r="D5" s="197">
        <v>23</v>
      </c>
      <c r="E5" s="193">
        <v>80719.851471208996</v>
      </c>
      <c r="F5" s="206">
        <f>E5/E26</f>
        <v>0.17109564239631589</v>
      </c>
      <c r="G5" s="206">
        <f t="shared" ref="G5:G24" si="0">F5+G4</f>
        <v>0.61948855599564945</v>
      </c>
    </row>
    <row r="6" spans="1:7" ht="60" x14ac:dyDescent="0.25">
      <c r="A6" s="197" t="s">
        <v>13</v>
      </c>
      <c r="B6" s="207" t="s">
        <v>14</v>
      </c>
      <c r="C6" s="197" t="s">
        <v>10</v>
      </c>
      <c r="D6" s="197">
        <v>6</v>
      </c>
      <c r="E6" s="193">
        <v>37353.513135542998</v>
      </c>
      <c r="F6" s="206">
        <f>E6/E26</f>
        <v>7.9175360325885777E-2</v>
      </c>
      <c r="G6" s="206">
        <f t="shared" si="0"/>
        <v>0.69866391632153524</v>
      </c>
    </row>
    <row r="7" spans="1:7" ht="60" x14ac:dyDescent="0.25">
      <c r="A7" s="197" t="s">
        <v>15</v>
      </c>
      <c r="B7" s="207" t="s">
        <v>16</v>
      </c>
      <c r="C7" s="197" t="s">
        <v>10</v>
      </c>
      <c r="D7" s="197">
        <v>15</v>
      </c>
      <c r="E7" s="193">
        <v>30225.404677536098</v>
      </c>
      <c r="F7" s="206">
        <f>E7/E26</f>
        <v>6.4066458693078587E-2</v>
      </c>
      <c r="G7" s="206">
        <f t="shared" si="0"/>
        <v>0.76273037501461383</v>
      </c>
    </row>
    <row r="8" spans="1:7" ht="30" x14ac:dyDescent="0.25">
      <c r="A8" s="197" t="s">
        <v>17</v>
      </c>
      <c r="B8" s="207" t="s">
        <v>18</v>
      </c>
      <c r="C8" s="197" t="s">
        <v>19</v>
      </c>
      <c r="D8" s="197">
        <v>86</v>
      </c>
      <c r="E8" s="193">
        <v>15227.474284944199</v>
      </c>
      <c r="F8" s="206">
        <f>E8/E26</f>
        <v>3.2276502587287113E-2</v>
      </c>
      <c r="G8" s="206">
        <f t="shared" si="0"/>
        <v>0.79500687760190092</v>
      </c>
    </row>
    <row r="9" spans="1:7" ht="300" x14ac:dyDescent="0.25">
      <c r="A9" s="197" t="s">
        <v>20</v>
      </c>
      <c r="B9" s="207" t="s">
        <v>21</v>
      </c>
      <c r="C9" s="197" t="s">
        <v>22</v>
      </c>
      <c r="D9" s="197">
        <v>21.5</v>
      </c>
      <c r="E9" s="193">
        <v>13270.8830045997</v>
      </c>
      <c r="F9" s="206">
        <f>E9/E26</f>
        <v>2.8129266982710024E-2</v>
      </c>
      <c r="G9" s="206">
        <f t="shared" si="0"/>
        <v>0.82313614458461093</v>
      </c>
    </row>
    <row r="10" spans="1:7" ht="30" x14ac:dyDescent="0.25">
      <c r="A10" s="197" t="s">
        <v>23</v>
      </c>
      <c r="B10" s="207" t="s">
        <v>24</v>
      </c>
      <c r="C10" s="197" t="s">
        <v>10</v>
      </c>
      <c r="D10" s="197">
        <v>86</v>
      </c>
      <c r="E10" s="193">
        <v>12819.7598960698</v>
      </c>
      <c r="F10" s="206">
        <f>E10/E26</f>
        <v>2.7173056129407396E-2</v>
      </c>
      <c r="G10" s="206">
        <f t="shared" si="0"/>
        <v>0.85030920071401828</v>
      </c>
    </row>
    <row r="11" spans="1:7" x14ac:dyDescent="0.25">
      <c r="A11" s="197" t="s">
        <v>25</v>
      </c>
      <c r="B11" s="207" t="s">
        <v>26</v>
      </c>
      <c r="C11" s="197" t="s">
        <v>27</v>
      </c>
      <c r="D11" s="197">
        <v>172</v>
      </c>
      <c r="E11" s="193">
        <v>12708.013804966</v>
      </c>
      <c r="F11" s="206">
        <f>E11/E26</f>
        <v>2.6936196560240554E-2</v>
      </c>
      <c r="G11" s="206">
        <f t="shared" si="0"/>
        <v>0.87724539727425888</v>
      </c>
    </row>
    <row r="12" spans="1:7" ht="75" x14ac:dyDescent="0.25">
      <c r="A12" s="197" t="s">
        <v>28</v>
      </c>
      <c r="B12" s="207" t="s">
        <v>29</v>
      </c>
      <c r="C12" s="197" t="s">
        <v>30</v>
      </c>
      <c r="D12" s="197">
        <v>130.82</v>
      </c>
      <c r="E12" s="193">
        <v>12205.7952534657</v>
      </c>
      <c r="F12" s="206">
        <f>E12/E26</f>
        <v>2.5871682638000007E-2</v>
      </c>
      <c r="G12" s="206">
        <f t="shared" si="0"/>
        <v>0.90311707991225887</v>
      </c>
    </row>
    <row r="13" spans="1:7" ht="75" x14ac:dyDescent="0.25">
      <c r="A13" s="197" t="s">
        <v>31</v>
      </c>
      <c r="B13" s="207" t="s">
        <v>32</v>
      </c>
      <c r="C13" s="197" t="s">
        <v>33</v>
      </c>
      <c r="D13" s="197">
        <v>1308.2</v>
      </c>
      <c r="E13" s="193">
        <v>8985.5428887215403</v>
      </c>
      <c r="F13" s="206">
        <f>E13/E26</f>
        <v>1.9045962112229756E-2</v>
      </c>
      <c r="G13" s="206">
        <f t="shared" si="0"/>
        <v>0.92216304202448862</v>
      </c>
    </row>
    <row r="14" spans="1:7" x14ac:dyDescent="0.25">
      <c r="A14" s="197" t="s">
        <v>34</v>
      </c>
      <c r="B14" s="207" t="s">
        <v>35</v>
      </c>
      <c r="C14" s="197"/>
      <c r="D14" s="197">
        <v>300</v>
      </c>
      <c r="E14" s="193">
        <v>7514.7080645355099</v>
      </c>
      <c r="F14" s="206">
        <f>E14/E26</f>
        <v>1.5928346996290893E-2</v>
      </c>
      <c r="G14" s="206">
        <f t="shared" si="0"/>
        <v>0.93809138902077949</v>
      </c>
    </row>
    <row r="15" spans="1:7" ht="30" x14ac:dyDescent="0.25">
      <c r="A15" s="197" t="s">
        <v>36</v>
      </c>
      <c r="B15" s="207" t="s">
        <v>37</v>
      </c>
      <c r="C15" s="197"/>
      <c r="D15" s="197">
        <v>300</v>
      </c>
      <c r="E15" s="193">
        <v>6803.6622006001198</v>
      </c>
      <c r="F15" s="206">
        <f>E15/E26</f>
        <v>1.442119792891852E-2</v>
      </c>
      <c r="G15" s="206">
        <f t="shared" si="0"/>
        <v>0.95251258694969798</v>
      </c>
    </row>
    <row r="16" spans="1:7" x14ac:dyDescent="0.25">
      <c r="A16" s="197" t="s">
        <v>38</v>
      </c>
      <c r="B16" s="207" t="s">
        <v>39</v>
      </c>
      <c r="C16" s="197"/>
      <c r="D16" s="197">
        <v>300</v>
      </c>
      <c r="E16" s="193">
        <v>5569.2577058493298</v>
      </c>
      <c r="F16" s="206">
        <f>E16/E26</f>
        <v>1.1804725943937019E-2</v>
      </c>
      <c r="G16" s="206">
        <f t="shared" si="0"/>
        <v>0.96431731289363498</v>
      </c>
    </row>
    <row r="17" spans="1:7" ht="45" x14ac:dyDescent="0.25">
      <c r="A17" s="197" t="s">
        <v>40</v>
      </c>
      <c r="B17" s="207" t="s">
        <v>41</v>
      </c>
      <c r="C17" s="197" t="s">
        <v>42</v>
      </c>
      <c r="D17" s="197">
        <v>5</v>
      </c>
      <c r="E17" s="193">
        <v>5474.43655161682</v>
      </c>
      <c r="F17" s="206">
        <f>E17/E26</f>
        <v>1.1603740857858683E-2</v>
      </c>
      <c r="G17" s="206">
        <f t="shared" si="0"/>
        <v>0.97592105375149363</v>
      </c>
    </row>
    <row r="18" spans="1:7" x14ac:dyDescent="0.25">
      <c r="A18" s="197" t="s">
        <v>43</v>
      </c>
      <c r="B18" s="207" t="s">
        <v>44</v>
      </c>
      <c r="C18" s="197" t="s">
        <v>45</v>
      </c>
      <c r="D18" s="197">
        <v>300</v>
      </c>
      <c r="E18" s="193">
        <v>3865.6351282985302</v>
      </c>
      <c r="F18" s="206">
        <f>E18/E26</f>
        <v>8.1936885845473404E-3</v>
      </c>
      <c r="G18" s="206">
        <f t="shared" si="0"/>
        <v>0.98411474233604102</v>
      </c>
    </row>
    <row r="19" spans="1:7" ht="30" x14ac:dyDescent="0.25">
      <c r="A19" s="197" t="s">
        <v>46</v>
      </c>
      <c r="B19" s="207" t="s">
        <v>47</v>
      </c>
      <c r="C19" s="197" t="s">
        <v>10</v>
      </c>
      <c r="D19" s="197">
        <v>4</v>
      </c>
      <c r="E19" s="193">
        <v>2518.5380854564501</v>
      </c>
      <c r="F19" s="206">
        <f>E19/E26</f>
        <v>5.3383508985327521E-3</v>
      </c>
      <c r="G19" s="206">
        <f t="shared" si="0"/>
        <v>0.98945309323457376</v>
      </c>
    </row>
    <row r="20" spans="1:7" ht="45" x14ac:dyDescent="0.25">
      <c r="A20" s="197" t="s">
        <v>48</v>
      </c>
      <c r="B20" s="207" t="s">
        <v>49</v>
      </c>
      <c r="C20" s="197" t="s">
        <v>10</v>
      </c>
      <c r="D20" s="197">
        <v>5</v>
      </c>
      <c r="E20" s="193">
        <v>1647.1960952858699</v>
      </c>
      <c r="F20" s="206">
        <f>E20/E26</f>
        <v>3.4914344976980163E-3</v>
      </c>
      <c r="G20" s="206">
        <f t="shared" si="0"/>
        <v>0.99294452773227182</v>
      </c>
    </row>
    <row r="21" spans="1:7" ht="30" x14ac:dyDescent="0.25">
      <c r="A21" s="197" t="s">
        <v>50</v>
      </c>
      <c r="B21" s="207" t="s">
        <v>51</v>
      </c>
      <c r="C21" s="197" t="s">
        <v>10</v>
      </c>
      <c r="D21" s="197">
        <v>2</v>
      </c>
      <c r="E21" s="193">
        <v>1564.0602760000299</v>
      </c>
      <c r="F21" s="206">
        <f>E21/E26</f>
        <v>3.3152179146939179E-3</v>
      </c>
      <c r="G21" s="206">
        <f t="shared" si="0"/>
        <v>0.99625974564696573</v>
      </c>
    </row>
    <row r="22" spans="1:7" ht="60" x14ac:dyDescent="0.25">
      <c r="A22" s="197" t="s">
        <v>52</v>
      </c>
      <c r="B22" s="207" t="s">
        <v>53</v>
      </c>
      <c r="C22" s="197" t="s">
        <v>10</v>
      </c>
      <c r="D22" s="197">
        <v>10</v>
      </c>
      <c r="E22" s="193">
        <v>996.06577115417099</v>
      </c>
      <c r="F22" s="206">
        <f>E22/E26</f>
        <v>2.1112837781346841E-3</v>
      </c>
      <c r="G22" s="206">
        <f t="shared" si="0"/>
        <v>0.99837102942510036</v>
      </c>
    </row>
    <row r="23" spans="1:7" ht="60" x14ac:dyDescent="0.25">
      <c r="A23" s="197" t="s">
        <v>54</v>
      </c>
      <c r="B23" s="207" t="s">
        <v>55</v>
      </c>
      <c r="C23" s="197" t="s">
        <v>56</v>
      </c>
      <c r="D23" s="197">
        <v>86</v>
      </c>
      <c r="E23" s="193">
        <v>426.29064384025298</v>
      </c>
      <c r="F23" s="206">
        <f>E23/E26</f>
        <v>9.0357539348795792E-4</v>
      </c>
      <c r="G23" s="206">
        <f t="shared" si="0"/>
        <v>0.99927460481858832</v>
      </c>
    </row>
    <row r="24" spans="1:7" ht="45" x14ac:dyDescent="0.25">
      <c r="A24" s="197" t="s">
        <v>57</v>
      </c>
      <c r="B24" s="207" t="s">
        <v>58</v>
      </c>
      <c r="C24" s="197" t="s">
        <v>59</v>
      </c>
      <c r="D24" s="197">
        <v>5</v>
      </c>
      <c r="E24" s="193">
        <v>342.22841962169798</v>
      </c>
      <c r="F24" s="206">
        <f>E24/E26</f>
        <v>7.2539518141129418E-4</v>
      </c>
      <c r="G24" s="206">
        <f t="shared" si="0"/>
        <v>0.99999999999999967</v>
      </c>
    </row>
    <row r="26" spans="1:7" x14ac:dyDescent="0.25">
      <c r="A26" s="211" t="s">
        <v>60</v>
      </c>
      <c r="B26" s="212"/>
      <c r="C26" s="212"/>
      <c r="D26" s="212"/>
      <c r="E26" s="193">
        <f>SUM(E4:E24)</f>
        <v>471782.04155681696</v>
      </c>
    </row>
  </sheetData>
  <mergeCells count="2">
    <mergeCell ref="A1:G1"/>
    <mergeCell ref="A26:D26"/>
  </mergeCells>
  <pageMargins left="0.78740157480314965" right="0.78740157480314965" top="1.0629921259842521" bottom="1.0629921259842521" header="0.78740157480314965" footer="0.78740157480314965"/>
  <pageSetup paperSize="9" scale="76" fitToHeight="5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30" zoomScaleNormal="100" workbookViewId="0">
      <selection activeCell="G41" sqref="G41"/>
    </sheetView>
  </sheetViews>
  <sheetFormatPr defaultColWidth="11.5703125" defaultRowHeight="15" x14ac:dyDescent="0.25"/>
  <cols>
    <col min="1" max="2" width="11.5703125" style="1"/>
    <col min="3" max="3" width="40.7109375" style="2" customWidth="1"/>
    <col min="4" max="4" width="11.5703125" style="1"/>
    <col min="5" max="5" width="11.5703125" style="2"/>
    <col min="6" max="6" width="11.5703125" style="3"/>
    <col min="7" max="8" width="11.5703125" style="4"/>
    <col min="9" max="16384" width="11.5703125" style="2"/>
  </cols>
  <sheetData>
    <row r="1" spans="1:8" x14ac:dyDescent="0.25">
      <c r="A1" s="209" t="s">
        <v>61</v>
      </c>
      <c r="B1" s="213"/>
      <c r="C1" s="213"/>
      <c r="D1" s="213"/>
      <c r="E1" s="213"/>
      <c r="F1" s="213"/>
      <c r="G1" s="213"/>
      <c r="H1" s="213"/>
    </row>
    <row r="2" spans="1:8" x14ac:dyDescent="0.25">
      <c r="A2" s="197"/>
      <c r="B2" s="197"/>
      <c r="C2" s="205"/>
      <c r="D2" s="197"/>
      <c r="E2" s="205"/>
      <c r="F2" s="193"/>
      <c r="G2" s="206"/>
      <c r="H2" s="206"/>
    </row>
    <row r="3" spans="1:8" x14ac:dyDescent="0.25">
      <c r="A3" s="197" t="s">
        <v>62</v>
      </c>
      <c r="B3" s="197" t="s">
        <v>63</v>
      </c>
      <c r="C3" s="207" t="s">
        <v>2</v>
      </c>
      <c r="D3" s="197" t="s">
        <v>3</v>
      </c>
      <c r="E3" s="205" t="s">
        <v>4</v>
      </c>
      <c r="F3" s="193" t="s">
        <v>5</v>
      </c>
      <c r="G3" s="206" t="s">
        <v>6</v>
      </c>
      <c r="H3" s="206" t="s">
        <v>7</v>
      </c>
    </row>
    <row r="4" spans="1:8" ht="60" x14ac:dyDescent="0.25">
      <c r="A4" s="197" t="s">
        <v>64</v>
      </c>
      <c r="B4" s="208" t="s">
        <v>65</v>
      </c>
      <c r="C4" s="207" t="s">
        <v>66</v>
      </c>
      <c r="D4" s="197" t="s">
        <v>67</v>
      </c>
      <c r="E4" s="205">
        <v>2110</v>
      </c>
      <c r="F4" s="193">
        <v>121522.310015058</v>
      </c>
      <c r="G4" s="206">
        <f>F4/F37</f>
        <v>0.25758146625092176</v>
      </c>
      <c r="H4" s="206">
        <f>G4</f>
        <v>0.25758146625092176</v>
      </c>
    </row>
    <row r="5" spans="1:8" ht="60" x14ac:dyDescent="0.25">
      <c r="A5" s="197" t="s">
        <v>64</v>
      </c>
      <c r="B5" s="208" t="s">
        <v>68</v>
      </c>
      <c r="C5" s="207" t="s">
        <v>69</v>
      </c>
      <c r="D5" s="197" t="s">
        <v>67</v>
      </c>
      <c r="E5" s="205">
        <v>2110</v>
      </c>
      <c r="F5" s="193">
        <v>73517.570462421005</v>
      </c>
      <c r="G5" s="206">
        <f>F5/F37</f>
        <v>0.15582952292932367</v>
      </c>
      <c r="H5" s="206">
        <f t="shared" ref="H5:H35" si="0">G5+H4</f>
        <v>0.41341098918024544</v>
      </c>
    </row>
    <row r="6" spans="1:8" ht="30" x14ac:dyDescent="0.25">
      <c r="A6" s="197" t="s">
        <v>64</v>
      </c>
      <c r="B6" s="197"/>
      <c r="C6" s="207" t="s">
        <v>70</v>
      </c>
      <c r="D6" s="197" t="s">
        <v>71</v>
      </c>
      <c r="E6" s="205">
        <v>24.29</v>
      </c>
      <c r="F6" s="193">
        <v>65265.5162588475</v>
      </c>
      <c r="G6" s="206">
        <f>F6/F37</f>
        <v>0.13833828020134095</v>
      </c>
      <c r="H6" s="206">
        <f t="shared" si="0"/>
        <v>0.55174926938158642</v>
      </c>
    </row>
    <row r="7" spans="1:8" ht="30" x14ac:dyDescent="0.25">
      <c r="A7" s="197" t="s">
        <v>64</v>
      </c>
      <c r="B7" s="208" t="s">
        <v>72</v>
      </c>
      <c r="C7" s="207" t="s">
        <v>73</v>
      </c>
      <c r="D7" s="197" t="s">
        <v>27</v>
      </c>
      <c r="E7" s="205">
        <v>635.75</v>
      </c>
      <c r="F7" s="193">
        <v>26809.241371053002</v>
      </c>
      <c r="G7" s="206">
        <f>F7/F37</f>
        <v>5.6825480856766357E-2</v>
      </c>
      <c r="H7" s="206">
        <f t="shared" si="0"/>
        <v>0.60857475023835272</v>
      </c>
    </row>
    <row r="8" spans="1:8" x14ac:dyDescent="0.25">
      <c r="A8" s="197" t="s">
        <v>64</v>
      </c>
      <c r="B8" s="208" t="s">
        <v>74</v>
      </c>
      <c r="C8" s="207" t="s">
        <v>75</v>
      </c>
      <c r="D8" s="197" t="s">
        <v>27</v>
      </c>
      <c r="E8" s="205">
        <v>774.42</v>
      </c>
      <c r="F8" s="193">
        <v>25063.341642680301</v>
      </c>
      <c r="G8" s="206">
        <f>F8/F37</f>
        <v>5.3124831882058736E-2</v>
      </c>
      <c r="H8" s="206">
        <f t="shared" si="0"/>
        <v>0.66169958212041147</v>
      </c>
    </row>
    <row r="9" spans="1:8" x14ac:dyDescent="0.25">
      <c r="A9" s="197" t="s">
        <v>76</v>
      </c>
      <c r="B9" s="197"/>
      <c r="C9" s="207" t="s">
        <v>77</v>
      </c>
      <c r="D9" s="197" t="s">
        <v>45</v>
      </c>
      <c r="E9" s="205">
        <v>2111.7199999999998</v>
      </c>
      <c r="F9" s="193">
        <v>21103.769054205201</v>
      </c>
      <c r="G9" s="206">
        <f>F9/F37</f>
        <v>4.4732031309554839E-2</v>
      </c>
      <c r="H9" s="206">
        <f t="shared" si="0"/>
        <v>0.7064316134299663</v>
      </c>
    </row>
    <row r="10" spans="1:8" ht="30" x14ac:dyDescent="0.25">
      <c r="A10" s="197" t="s">
        <v>64</v>
      </c>
      <c r="B10" s="208" t="s">
        <v>78</v>
      </c>
      <c r="C10" s="207" t="s">
        <v>79</v>
      </c>
      <c r="D10" s="197" t="s">
        <v>27</v>
      </c>
      <c r="E10" s="205">
        <v>482.33</v>
      </c>
      <c r="F10" s="193">
        <v>18683.806870246401</v>
      </c>
      <c r="G10" s="206">
        <f>F10/F37</f>
        <v>3.9602624145235368E-2</v>
      </c>
      <c r="H10" s="206">
        <f t="shared" si="0"/>
        <v>0.74603423757520171</v>
      </c>
    </row>
    <row r="11" spans="1:8" x14ac:dyDescent="0.25">
      <c r="A11" s="197" t="s">
        <v>64</v>
      </c>
      <c r="B11" s="208" t="s">
        <v>80</v>
      </c>
      <c r="C11" s="207" t="s">
        <v>81</v>
      </c>
      <c r="D11" s="197" t="s">
        <v>27</v>
      </c>
      <c r="E11" s="205">
        <v>397.08</v>
      </c>
      <c r="F11" s="193">
        <v>16811.963594395402</v>
      </c>
      <c r="G11" s="206">
        <f>F11/F37</f>
        <v>3.5635022348282322E-2</v>
      </c>
      <c r="H11" s="206">
        <f t="shared" si="0"/>
        <v>0.78166925992348402</v>
      </c>
    </row>
    <row r="12" spans="1:8" ht="30" x14ac:dyDescent="0.25">
      <c r="A12" s="197" t="s">
        <v>64</v>
      </c>
      <c r="B12" s="208" t="s">
        <v>82</v>
      </c>
      <c r="C12" s="207" t="s">
        <v>83</v>
      </c>
      <c r="D12" s="197" t="s">
        <v>84</v>
      </c>
      <c r="E12" s="205">
        <v>344</v>
      </c>
      <c r="F12" s="193">
        <v>14051.0362702685</v>
      </c>
      <c r="G12" s="206">
        <f>F12/F37</f>
        <v>2.9782897678559375E-2</v>
      </c>
      <c r="H12" s="206">
        <f t="shared" si="0"/>
        <v>0.81145215760204337</v>
      </c>
    </row>
    <row r="13" spans="1:8" x14ac:dyDescent="0.25">
      <c r="A13" s="197" t="s">
        <v>64</v>
      </c>
      <c r="B13" s="208" t="s">
        <v>85</v>
      </c>
      <c r="C13" s="207" t="s">
        <v>26</v>
      </c>
      <c r="D13" s="197" t="s">
        <v>27</v>
      </c>
      <c r="E13" s="205">
        <v>172</v>
      </c>
      <c r="F13" s="193">
        <v>12708.013804966</v>
      </c>
      <c r="G13" s="206">
        <f>F13/F37</f>
        <v>2.6936196560240606E-2</v>
      </c>
      <c r="H13" s="206">
        <f t="shared" si="0"/>
        <v>0.83838835416228397</v>
      </c>
    </row>
    <row r="14" spans="1:8" ht="60" x14ac:dyDescent="0.25">
      <c r="A14" s="197" t="s">
        <v>86</v>
      </c>
      <c r="B14" s="197" t="s">
        <v>87</v>
      </c>
      <c r="C14" s="207" t="s">
        <v>88</v>
      </c>
      <c r="D14" s="197" t="s">
        <v>56</v>
      </c>
      <c r="E14" s="205">
        <v>130.82</v>
      </c>
      <c r="F14" s="193">
        <v>12205.7952534657</v>
      </c>
      <c r="G14" s="206">
        <f>F14/F37</f>
        <v>2.5871682638000056E-2</v>
      </c>
      <c r="H14" s="206">
        <f t="shared" si="0"/>
        <v>0.86426003680028407</v>
      </c>
    </row>
    <row r="15" spans="1:8" ht="45" x14ac:dyDescent="0.25">
      <c r="A15" s="197" t="s">
        <v>64</v>
      </c>
      <c r="B15" s="208" t="s">
        <v>89</v>
      </c>
      <c r="C15" s="207" t="s">
        <v>90</v>
      </c>
      <c r="D15" s="197" t="s">
        <v>84</v>
      </c>
      <c r="E15" s="205">
        <v>344</v>
      </c>
      <c r="F15" s="193">
        <v>11509.8473836868</v>
      </c>
      <c r="G15" s="206">
        <f>F15/F37</f>
        <v>2.4396535624174844E-2</v>
      </c>
      <c r="H15" s="206">
        <f t="shared" si="0"/>
        <v>0.88865657242445895</v>
      </c>
    </row>
    <row r="16" spans="1:8" ht="30" x14ac:dyDescent="0.25">
      <c r="A16" s="197" t="s">
        <v>64</v>
      </c>
      <c r="B16" s="208" t="s">
        <v>91</v>
      </c>
      <c r="C16" s="207" t="s">
        <v>92</v>
      </c>
      <c r="D16" s="197" t="s">
        <v>93</v>
      </c>
      <c r="E16" s="205">
        <v>302.82</v>
      </c>
      <c r="F16" s="193">
        <v>10999.1164942906</v>
      </c>
      <c r="G16" s="206">
        <f>F16/F37</f>
        <v>2.3313978755942093E-2</v>
      </c>
      <c r="H16" s="206">
        <f t="shared" si="0"/>
        <v>0.91197055118040105</v>
      </c>
    </row>
    <row r="17" spans="1:8" x14ac:dyDescent="0.25">
      <c r="A17" s="197" t="s">
        <v>64</v>
      </c>
      <c r="B17" s="208" t="s">
        <v>94</v>
      </c>
      <c r="C17" s="207" t="s">
        <v>95</v>
      </c>
      <c r="D17" s="197" t="s">
        <v>96</v>
      </c>
      <c r="E17" s="205">
        <v>172</v>
      </c>
      <c r="F17" s="193">
        <v>5986.6933622808401</v>
      </c>
      <c r="G17" s="206">
        <f>F17/F37</f>
        <v>1.268953210369257E-2</v>
      </c>
      <c r="H17" s="206">
        <f t="shared" si="0"/>
        <v>0.92466008328409366</v>
      </c>
    </row>
    <row r="18" spans="1:8" ht="30" x14ac:dyDescent="0.25">
      <c r="A18" s="197" t="s">
        <v>76</v>
      </c>
      <c r="B18" s="197"/>
      <c r="C18" s="207" t="s">
        <v>97</v>
      </c>
      <c r="D18" s="197" t="s">
        <v>59</v>
      </c>
      <c r="E18" s="205">
        <v>5</v>
      </c>
      <c r="F18" s="193">
        <v>5411.04699331548</v>
      </c>
      <c r="G18" s="206">
        <f>F18/F37</f>
        <v>1.1469378901027616E-2</v>
      </c>
      <c r="H18" s="206">
        <f t="shared" si="0"/>
        <v>0.93612946218512127</v>
      </c>
    </row>
    <row r="19" spans="1:8" x14ac:dyDescent="0.25">
      <c r="A19" s="197" t="s">
        <v>64</v>
      </c>
      <c r="B19" s="208" t="s">
        <v>98</v>
      </c>
      <c r="C19" s="207" t="s">
        <v>35</v>
      </c>
      <c r="D19" s="197" t="s">
        <v>45</v>
      </c>
      <c r="E19" s="205">
        <v>306</v>
      </c>
      <c r="F19" s="193">
        <v>4970.1023078123899</v>
      </c>
      <c r="G19" s="206">
        <f>F19/F37</f>
        <v>1.0534742465846587E-2</v>
      </c>
      <c r="H19" s="206">
        <f t="shared" si="0"/>
        <v>0.9466642046509679</v>
      </c>
    </row>
    <row r="20" spans="1:8" ht="45" x14ac:dyDescent="0.25">
      <c r="A20" s="197" t="s">
        <v>76</v>
      </c>
      <c r="B20" s="197"/>
      <c r="C20" s="207" t="s">
        <v>99</v>
      </c>
      <c r="D20" s="197" t="s">
        <v>67</v>
      </c>
      <c r="E20" s="205">
        <v>2110</v>
      </c>
      <c r="F20" s="193">
        <v>4603.0414235009703</v>
      </c>
      <c r="G20" s="206">
        <f>F20/F37</f>
        <v>9.7567118246204634E-3</v>
      </c>
      <c r="H20" s="206">
        <f t="shared" si="0"/>
        <v>0.95642091647558836</v>
      </c>
    </row>
    <row r="21" spans="1:8" ht="45" x14ac:dyDescent="0.25">
      <c r="A21" s="197" t="s">
        <v>76</v>
      </c>
      <c r="B21" s="197"/>
      <c r="C21" s="207" t="s">
        <v>100</v>
      </c>
      <c r="D21" s="197" t="s">
        <v>67</v>
      </c>
      <c r="E21" s="205">
        <v>2110</v>
      </c>
      <c r="F21" s="193">
        <v>3655.5698019988299</v>
      </c>
      <c r="G21" s="206">
        <f>F21/F37</f>
        <v>7.7484293169276866E-3</v>
      </c>
      <c r="H21" s="206">
        <f t="shared" si="0"/>
        <v>0.96416934579251601</v>
      </c>
    </row>
    <row r="22" spans="1:8" x14ac:dyDescent="0.25">
      <c r="A22" s="197" t="s">
        <v>76</v>
      </c>
      <c r="B22" s="197"/>
      <c r="C22" s="207" t="s">
        <v>101</v>
      </c>
      <c r="D22" s="197" t="s">
        <v>102</v>
      </c>
      <c r="E22" s="205">
        <v>50.1</v>
      </c>
      <c r="F22" s="193">
        <v>3469.3864729903698</v>
      </c>
      <c r="G22" s="206">
        <f>F22/F37</f>
        <v>7.3537908766977862E-3</v>
      </c>
      <c r="H22" s="206">
        <f t="shared" si="0"/>
        <v>0.97152313666921375</v>
      </c>
    </row>
    <row r="23" spans="1:8" x14ac:dyDescent="0.25">
      <c r="A23" s="197" t="s">
        <v>64</v>
      </c>
      <c r="B23" s="208" t="s">
        <v>103</v>
      </c>
      <c r="C23" s="207" t="s">
        <v>39</v>
      </c>
      <c r="D23" s="197" t="s">
        <v>45</v>
      </c>
      <c r="E23" s="205">
        <v>306</v>
      </c>
      <c r="F23" s="193">
        <v>3024.6519491262102</v>
      </c>
      <c r="G23" s="206">
        <f>F23/F37</f>
        <v>6.4111214134927076E-3</v>
      </c>
      <c r="H23" s="206">
        <f t="shared" si="0"/>
        <v>0.97793425808270651</v>
      </c>
    </row>
    <row r="24" spans="1:8" ht="30" x14ac:dyDescent="0.25">
      <c r="A24" s="197" t="s">
        <v>76</v>
      </c>
      <c r="B24" s="197"/>
      <c r="C24" s="207" t="s">
        <v>47</v>
      </c>
      <c r="D24" s="197" t="s">
        <v>10</v>
      </c>
      <c r="E24" s="205">
        <v>4</v>
      </c>
      <c r="F24" s="193">
        <v>2518.5380854564501</v>
      </c>
      <c r="G24" s="206">
        <f>F24/F37</f>
        <v>5.3383508985327625E-3</v>
      </c>
      <c r="H24" s="206">
        <f t="shared" si="0"/>
        <v>0.98327260898123925</v>
      </c>
    </row>
    <row r="25" spans="1:8" ht="30" x14ac:dyDescent="0.25">
      <c r="A25" s="197" t="s">
        <v>64</v>
      </c>
      <c r="B25" s="208" t="s">
        <v>104</v>
      </c>
      <c r="C25" s="207" t="s">
        <v>37</v>
      </c>
      <c r="D25" s="197" t="s">
        <v>45</v>
      </c>
      <c r="E25" s="205">
        <v>306</v>
      </c>
      <c r="F25" s="193">
        <v>1898.5285504061901</v>
      </c>
      <c r="G25" s="206">
        <f>F25/F37</f>
        <v>4.0241645149130855E-3</v>
      </c>
      <c r="H25" s="206">
        <f t="shared" si="0"/>
        <v>0.9872967734961523</v>
      </c>
    </row>
    <row r="26" spans="1:8" ht="30" x14ac:dyDescent="0.25">
      <c r="A26" s="197" t="s">
        <v>76</v>
      </c>
      <c r="B26" s="197"/>
      <c r="C26" s="207" t="s">
        <v>51</v>
      </c>
      <c r="D26" s="197" t="s">
        <v>10</v>
      </c>
      <c r="E26" s="205">
        <v>2</v>
      </c>
      <c r="F26" s="193">
        <v>1564.0602760000299</v>
      </c>
      <c r="G26" s="206">
        <f>F26/F37</f>
        <v>3.315217914693924E-3</v>
      </c>
      <c r="H26" s="206">
        <f t="shared" si="0"/>
        <v>0.99061199141084622</v>
      </c>
    </row>
    <row r="27" spans="1:8" ht="30" x14ac:dyDescent="0.25">
      <c r="A27" s="197" t="s">
        <v>64</v>
      </c>
      <c r="B27" s="208" t="s">
        <v>105</v>
      </c>
      <c r="C27" s="207" t="s">
        <v>106</v>
      </c>
      <c r="D27" s="197" t="s">
        <v>45</v>
      </c>
      <c r="E27" s="205">
        <v>306</v>
      </c>
      <c r="F27" s="193">
        <v>1321.0293715754101</v>
      </c>
      <c r="G27" s="206">
        <f>F27/F37</f>
        <v>2.8000840541030224E-3</v>
      </c>
      <c r="H27" s="206">
        <f t="shared" si="0"/>
        <v>0.99341207546494925</v>
      </c>
    </row>
    <row r="28" spans="1:8" ht="60" x14ac:dyDescent="0.25">
      <c r="A28" s="197" t="s">
        <v>64</v>
      </c>
      <c r="B28" s="208" t="s">
        <v>107</v>
      </c>
      <c r="C28" s="207" t="s">
        <v>108</v>
      </c>
      <c r="D28" s="197" t="s">
        <v>67</v>
      </c>
      <c r="E28" s="205">
        <v>25</v>
      </c>
      <c r="F28" s="193">
        <v>839.47927506078395</v>
      </c>
      <c r="G28" s="206">
        <f>F28/F37</f>
        <v>1.7793794615212936E-3</v>
      </c>
      <c r="H28" s="206">
        <f t="shared" si="0"/>
        <v>0.99519145492647054</v>
      </c>
    </row>
    <row r="29" spans="1:8" ht="45" x14ac:dyDescent="0.25">
      <c r="A29" s="197" t="s">
        <v>64</v>
      </c>
      <c r="B29" s="208" t="s">
        <v>109</v>
      </c>
      <c r="C29" s="207" t="s">
        <v>110</v>
      </c>
      <c r="D29" s="197" t="s">
        <v>10</v>
      </c>
      <c r="E29" s="205">
        <v>10</v>
      </c>
      <c r="F29" s="193">
        <v>585.07885555293296</v>
      </c>
      <c r="G29" s="206">
        <f>F29/F37</f>
        <v>1.2401465168581935E-3</v>
      </c>
      <c r="H29" s="206">
        <f t="shared" si="0"/>
        <v>0.99643160144332876</v>
      </c>
    </row>
    <row r="30" spans="1:8" ht="60" x14ac:dyDescent="0.25">
      <c r="A30" s="197" t="s">
        <v>64</v>
      </c>
      <c r="B30" s="208" t="s">
        <v>111</v>
      </c>
      <c r="C30" s="207" t="s">
        <v>112</v>
      </c>
      <c r="D30" s="197" t="s">
        <v>67</v>
      </c>
      <c r="E30" s="205">
        <v>25</v>
      </c>
      <c r="F30" s="193">
        <v>545.616411666163</v>
      </c>
      <c r="G30" s="206">
        <f>F30/F37</f>
        <v>1.1565010187028391E-3</v>
      </c>
      <c r="H30" s="206">
        <f t="shared" si="0"/>
        <v>0.99758810246203156</v>
      </c>
    </row>
    <row r="31" spans="1:8" ht="30" x14ac:dyDescent="0.25">
      <c r="A31" s="197" t="s">
        <v>64</v>
      </c>
      <c r="B31" s="208" t="s">
        <v>113</v>
      </c>
      <c r="C31" s="207" t="s">
        <v>114</v>
      </c>
      <c r="D31" s="197" t="s">
        <v>102</v>
      </c>
      <c r="E31" s="205">
        <v>10</v>
      </c>
      <c r="F31" s="193">
        <v>410.98691560123802</v>
      </c>
      <c r="G31" s="206">
        <f>F31/F37</f>
        <v>8.7113726127649438E-4</v>
      </c>
      <c r="H31" s="206">
        <f t="shared" si="0"/>
        <v>0.99845923972330808</v>
      </c>
    </row>
    <row r="32" spans="1:8" ht="45" x14ac:dyDescent="0.25">
      <c r="A32" s="197" t="s">
        <v>64</v>
      </c>
      <c r="B32" s="208" t="s">
        <v>115</v>
      </c>
      <c r="C32" s="207" t="s">
        <v>58</v>
      </c>
      <c r="D32" s="197" t="s">
        <v>59</v>
      </c>
      <c r="E32" s="205">
        <v>5</v>
      </c>
      <c r="F32" s="193">
        <v>316.842518218929</v>
      </c>
      <c r="G32" s="206">
        <f>F32/F37</f>
        <v>6.7158664448818803E-4</v>
      </c>
      <c r="H32" s="206">
        <f t="shared" si="0"/>
        <v>0.99913082636779627</v>
      </c>
    </row>
    <row r="33" spans="1:8" x14ac:dyDescent="0.25">
      <c r="A33" s="197" t="s">
        <v>64</v>
      </c>
      <c r="B33" s="208" t="s">
        <v>116</v>
      </c>
      <c r="C33" s="207" t="s">
        <v>117</v>
      </c>
      <c r="D33" s="197" t="s">
        <v>56</v>
      </c>
      <c r="E33" s="205">
        <v>94.6</v>
      </c>
      <c r="F33" s="193">
        <v>147.96010210960301</v>
      </c>
      <c r="G33" s="206">
        <f>F33/F37</f>
        <v>3.1361961473004557E-4</v>
      </c>
      <c r="H33" s="206">
        <f t="shared" si="0"/>
        <v>0.99944444598252635</v>
      </c>
    </row>
    <row r="34" spans="1:8" ht="60" x14ac:dyDescent="0.25">
      <c r="A34" s="197" t="s">
        <v>64</v>
      </c>
      <c r="B34" s="208" t="s">
        <v>118</v>
      </c>
      <c r="C34" s="207" t="s">
        <v>119</v>
      </c>
      <c r="D34" s="197" t="s">
        <v>120</v>
      </c>
      <c r="E34" s="205">
        <v>10</v>
      </c>
      <c r="F34" s="193">
        <v>135.95293168307899</v>
      </c>
      <c r="G34" s="206">
        <f>F34/F37</f>
        <v>2.8816894181570149E-4</v>
      </c>
      <c r="H34" s="206">
        <f t="shared" si="0"/>
        <v>0.99973261492434207</v>
      </c>
    </row>
    <row r="35" spans="1:8" ht="45" x14ac:dyDescent="0.25">
      <c r="A35" s="197" t="s">
        <v>64</v>
      </c>
      <c r="B35" s="208" t="s">
        <v>121</v>
      </c>
      <c r="C35" s="207" t="s">
        <v>122</v>
      </c>
      <c r="D35" s="197" t="s">
        <v>67</v>
      </c>
      <c r="E35" s="205">
        <v>10.7</v>
      </c>
      <c r="F35" s="193">
        <v>126.147476875848</v>
      </c>
      <c r="G35" s="206">
        <f>F35/F37</f>
        <v>2.6738507565819718E-4</v>
      </c>
      <c r="H35" s="206">
        <f t="shared" si="0"/>
        <v>1.0000000000000002</v>
      </c>
    </row>
    <row r="36" spans="1:8" x14ac:dyDescent="0.25">
      <c r="A36" s="197"/>
      <c r="B36" s="197"/>
      <c r="C36" s="205"/>
      <c r="D36" s="197"/>
      <c r="E36" s="205"/>
      <c r="F36" s="193"/>
      <c r="G36" s="206"/>
      <c r="H36" s="206"/>
    </row>
    <row r="37" spans="1:8" x14ac:dyDescent="0.25">
      <c r="A37" s="214" t="s">
        <v>60</v>
      </c>
      <c r="B37" s="210"/>
      <c r="C37" s="210"/>
      <c r="D37" s="210"/>
      <c r="E37" s="210"/>
      <c r="F37" s="193">
        <f>SUM(F4:F35)</f>
        <v>471782.04155681608</v>
      </c>
      <c r="G37" s="206"/>
      <c r="H37" s="206"/>
    </row>
  </sheetData>
  <mergeCells count="2">
    <mergeCell ref="A1:H1"/>
    <mergeCell ref="A37:E37"/>
  </mergeCells>
  <pageMargins left="0.78740157480314965" right="0.78740157480314965" top="1.0629921259842521" bottom="1.0629921259842521" header="0.78740157480314965" footer="0.78740157480314965"/>
  <pageSetup paperSize="9" scale="60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="115" zoomScaleNormal="115" workbookViewId="0">
      <selection activeCell="C25" sqref="C25"/>
    </sheetView>
  </sheetViews>
  <sheetFormatPr defaultColWidth="8.7109375" defaultRowHeight="15" x14ac:dyDescent="0.25"/>
  <cols>
    <col min="1" max="1" width="25.140625" style="5" customWidth="1"/>
    <col min="2" max="2" width="37.42578125" style="5" customWidth="1"/>
    <col min="3" max="3" width="16.7109375" style="5" customWidth="1"/>
    <col min="4" max="4" width="15.42578125" style="5" customWidth="1"/>
    <col min="5" max="5" width="16.5703125" style="6" customWidth="1"/>
    <col min="6" max="6" width="15.5703125" style="5" customWidth="1"/>
    <col min="7" max="7" width="21.28515625" style="5" customWidth="1"/>
  </cols>
  <sheetData>
    <row r="1" spans="1:7" ht="54" customHeight="1" x14ac:dyDescent="0.25">
      <c r="A1" s="215" t="s">
        <v>123</v>
      </c>
      <c r="B1" s="215"/>
      <c r="C1" s="215"/>
      <c r="D1" s="215"/>
      <c r="E1" s="7"/>
    </row>
    <row r="2" spans="1:7" s="11" customFormat="1" x14ac:dyDescent="0.25">
      <c r="A2" s="8" t="s">
        <v>124</v>
      </c>
      <c r="B2" s="9"/>
      <c r="C2" s="10"/>
      <c r="D2" s="10"/>
      <c r="E2" s="10"/>
    </row>
    <row r="3" spans="1:7" s="11" customFormat="1" x14ac:dyDescent="0.25">
      <c r="A3" s="8"/>
      <c r="B3" s="9"/>
      <c r="C3" s="10"/>
      <c r="D3" s="10"/>
      <c r="E3" s="10"/>
    </row>
    <row r="4" spans="1:7" s="11" customFormat="1" ht="36.75" customHeight="1" x14ac:dyDescent="0.25">
      <c r="A4" s="12" t="s">
        <v>125</v>
      </c>
      <c r="B4" s="13" t="s">
        <v>126</v>
      </c>
      <c r="C4" s="14" t="s">
        <v>127</v>
      </c>
      <c r="D4" s="14" t="s">
        <v>128</v>
      </c>
    </row>
    <row r="5" spans="1:7" x14ac:dyDescent="0.25">
      <c r="A5" s="15" t="s">
        <v>129</v>
      </c>
      <c r="B5" s="16" t="s">
        <v>130</v>
      </c>
      <c r="C5" s="17">
        <f>C21</f>
        <v>86</v>
      </c>
      <c r="D5" s="18">
        <f>'LOTE 03 - SETORIAL CURITIBA'!P139</f>
        <v>471782.04155681649</v>
      </c>
      <c r="E5" s="5"/>
    </row>
    <row r="6" spans="1:7" x14ac:dyDescent="0.25">
      <c r="A6" s="19"/>
      <c r="B6" s="20"/>
      <c r="C6" s="21">
        <f>SUM(C5:C5)</f>
        <v>86</v>
      </c>
      <c r="D6" s="22">
        <f>SUM(D5:D5)</f>
        <v>471782.04155681649</v>
      </c>
    </row>
    <row r="7" spans="1:7" x14ac:dyDescent="0.25">
      <c r="A7" s="23"/>
      <c r="B7" s="23"/>
      <c r="C7" s="24"/>
      <c r="D7" s="25"/>
      <c r="E7" s="5"/>
    </row>
    <row r="9" spans="1:7" x14ac:dyDescent="0.25">
      <c r="A9" s="216" t="s">
        <v>131</v>
      </c>
      <c r="B9" s="216"/>
      <c r="C9" s="216"/>
      <c r="D9" s="216"/>
      <c r="E9" s="216"/>
      <c r="F9" s="216"/>
    </row>
    <row r="10" spans="1:7" x14ac:dyDescent="0.25">
      <c r="A10" s="26" t="s">
        <v>132</v>
      </c>
      <c r="B10" s="26" t="s">
        <v>133</v>
      </c>
      <c r="C10" s="26" t="s">
        <v>134</v>
      </c>
      <c r="D10" s="27" t="s">
        <v>135</v>
      </c>
      <c r="E10" s="27" t="s">
        <v>136</v>
      </c>
      <c r="F10" s="27" t="s">
        <v>137</v>
      </c>
      <c r="G10" s="27" t="s">
        <v>138</v>
      </c>
    </row>
    <row r="11" spans="1:7" x14ac:dyDescent="0.25">
      <c r="A11" s="26" t="s">
        <v>139</v>
      </c>
      <c r="B11" s="26">
        <v>9000</v>
      </c>
      <c r="C11" s="26">
        <v>3</v>
      </c>
      <c r="D11" s="26">
        <f>C11</f>
        <v>3</v>
      </c>
      <c r="E11" s="26"/>
      <c r="F11" s="26"/>
      <c r="G11" s="26"/>
    </row>
    <row r="12" spans="1:7" x14ac:dyDescent="0.25">
      <c r="A12" s="26" t="s">
        <v>139</v>
      </c>
      <c r="B12" s="26">
        <v>12000</v>
      </c>
      <c r="C12" s="26">
        <v>12</v>
      </c>
      <c r="D12" s="26">
        <f>C12</f>
        <v>12</v>
      </c>
      <c r="E12" s="26"/>
      <c r="F12" s="26"/>
      <c r="G12" s="26"/>
    </row>
    <row r="13" spans="1:7" x14ac:dyDescent="0.25">
      <c r="A13" s="26" t="s">
        <v>139</v>
      </c>
      <c r="B13" s="26">
        <v>18000</v>
      </c>
      <c r="C13" s="26">
        <v>16</v>
      </c>
      <c r="D13" s="26"/>
      <c r="E13" s="26">
        <f>C13</f>
        <v>16</v>
      </c>
      <c r="F13" s="26"/>
      <c r="G13" s="26"/>
    </row>
    <row r="14" spans="1:7" x14ac:dyDescent="0.25">
      <c r="A14" s="26" t="s">
        <v>139</v>
      </c>
      <c r="B14" s="26">
        <v>24000</v>
      </c>
      <c r="C14" s="26">
        <v>3</v>
      </c>
      <c r="D14" s="26"/>
      <c r="E14" s="26">
        <f>C14</f>
        <v>3</v>
      </c>
      <c r="F14" s="26"/>
      <c r="G14" s="26"/>
    </row>
    <row r="15" spans="1:7" x14ac:dyDescent="0.25">
      <c r="A15" s="26" t="s">
        <v>139</v>
      </c>
      <c r="B15" s="26">
        <v>30000</v>
      </c>
      <c r="C15" s="26">
        <v>4</v>
      </c>
      <c r="D15" s="26"/>
      <c r="E15" s="26">
        <f>C15</f>
        <v>4</v>
      </c>
      <c r="F15" s="26"/>
      <c r="G15" s="26"/>
    </row>
    <row r="16" spans="1:7" x14ac:dyDescent="0.25">
      <c r="A16" s="26" t="s">
        <v>139</v>
      </c>
      <c r="B16" s="26">
        <v>36000</v>
      </c>
      <c r="C16" s="26">
        <v>11</v>
      </c>
      <c r="D16" s="26"/>
      <c r="E16" s="26"/>
      <c r="F16" s="26">
        <f t="shared" ref="F16:G19" si="0">C16</f>
        <v>11</v>
      </c>
      <c r="G16" s="26">
        <f t="shared" si="0"/>
        <v>0</v>
      </c>
    </row>
    <row r="17" spans="1:7" x14ac:dyDescent="0.25">
      <c r="A17" s="26" t="s">
        <v>139</v>
      </c>
      <c r="B17" s="26">
        <v>48000</v>
      </c>
      <c r="C17" s="26">
        <v>21</v>
      </c>
      <c r="D17" s="26"/>
      <c r="E17" s="26"/>
      <c r="F17" s="26">
        <f t="shared" si="0"/>
        <v>21</v>
      </c>
      <c r="G17" s="26">
        <f t="shared" si="0"/>
        <v>0</v>
      </c>
    </row>
    <row r="18" spans="1:7" x14ac:dyDescent="0.25">
      <c r="A18" s="26" t="s">
        <v>139</v>
      </c>
      <c r="B18" s="26">
        <v>60000</v>
      </c>
      <c r="C18" s="26">
        <v>6</v>
      </c>
      <c r="D18" s="26"/>
      <c r="E18" s="26"/>
      <c r="F18" s="26">
        <f t="shared" si="0"/>
        <v>6</v>
      </c>
      <c r="G18" s="26">
        <f t="shared" si="0"/>
        <v>0</v>
      </c>
    </row>
    <row r="19" spans="1:7" x14ac:dyDescent="0.25">
      <c r="A19" s="26" t="s">
        <v>140</v>
      </c>
      <c r="B19" s="26">
        <v>36000</v>
      </c>
      <c r="C19" s="26">
        <v>4</v>
      </c>
      <c r="D19" s="26"/>
      <c r="E19" s="26"/>
      <c r="F19" s="26">
        <f t="shared" si="0"/>
        <v>4</v>
      </c>
      <c r="G19" s="26">
        <f t="shared" si="0"/>
        <v>0</v>
      </c>
    </row>
    <row r="20" spans="1:7" x14ac:dyDescent="0.25">
      <c r="A20" s="26" t="s">
        <v>140</v>
      </c>
      <c r="B20" s="26">
        <v>60000</v>
      </c>
      <c r="C20" s="26">
        <v>6</v>
      </c>
      <c r="D20" s="26"/>
      <c r="E20" s="28"/>
      <c r="F20" s="26"/>
      <c r="G20" s="26">
        <f>C20</f>
        <v>6</v>
      </c>
    </row>
    <row r="21" spans="1:7" x14ac:dyDescent="0.25">
      <c r="B21" s="29" t="s">
        <v>60</v>
      </c>
      <c r="C21" s="26">
        <f>SUM(C11:C20)</f>
        <v>86</v>
      </c>
      <c r="D21" s="30">
        <f>SUM(D11:D20)</f>
        <v>15</v>
      </c>
      <c r="E21" s="30">
        <f>SUM(E11:E20)</f>
        <v>23</v>
      </c>
      <c r="F21" s="30">
        <f>SUM(F11:F20)</f>
        <v>42</v>
      </c>
      <c r="G21" s="30">
        <f>SUM(G11:G20)</f>
        <v>6</v>
      </c>
    </row>
  </sheetData>
  <mergeCells count="2">
    <mergeCell ref="A1:D1"/>
    <mergeCell ref="A9:F9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91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42"/>
  <sheetViews>
    <sheetView topLeftCell="E1" zoomScale="70" zoomScaleNormal="70" workbookViewId="0">
      <selection activeCell="W1" sqref="W1"/>
    </sheetView>
  </sheetViews>
  <sheetFormatPr defaultColWidth="14.42578125" defaultRowHeight="15" x14ac:dyDescent="0.25"/>
  <cols>
    <col min="1" max="2" width="17.28515625" style="5" customWidth="1"/>
    <col min="3" max="3" width="10.28515625" style="5" customWidth="1"/>
    <col min="4" max="4" width="59" style="5" customWidth="1"/>
    <col min="5" max="8" width="14.7109375" style="5" customWidth="1"/>
    <col min="9" max="14" width="17.28515625" style="5" customWidth="1"/>
    <col min="15" max="15" width="12.7109375" style="5" customWidth="1"/>
    <col min="16" max="16" width="24" style="5" customWidth="1"/>
    <col min="17" max="17" width="6.28515625" style="5" customWidth="1"/>
    <col min="18" max="18" width="15.28515625" style="29" customWidth="1"/>
    <col min="19" max="19" width="13.28515625" style="29" customWidth="1"/>
    <col min="20" max="20" width="12.5703125" style="29" customWidth="1"/>
    <col min="21" max="21" width="8.42578125" style="29" customWidth="1"/>
    <col min="22" max="22" width="5.85546875" style="5" customWidth="1"/>
    <col min="23" max="23" width="25.85546875" style="5" customWidth="1"/>
    <col min="24" max="24" width="8.85546875" style="5" customWidth="1"/>
    <col min="25" max="25" width="22.85546875" style="5" customWidth="1"/>
    <col min="26" max="26" width="5.85546875" style="5" customWidth="1"/>
    <col min="27" max="27" width="20.5703125" style="5" customWidth="1"/>
    <col min="28" max="28" width="8" style="5" customWidth="1"/>
    <col min="29" max="29" width="25.85546875" style="5" customWidth="1"/>
    <col min="30" max="30" width="5.85546875" style="5" customWidth="1"/>
    <col min="31" max="31" width="25.85546875" style="5" customWidth="1"/>
    <col min="32" max="32" width="5.85546875" style="5" customWidth="1"/>
    <col min="33" max="33" width="22.85546875" style="5" customWidth="1"/>
    <col min="34" max="34" width="5.85546875" style="5" customWidth="1"/>
    <col min="35" max="35" width="25.85546875" style="5" customWidth="1"/>
    <col min="36" max="36" width="5.85546875" style="5" customWidth="1"/>
    <col min="37" max="37" width="18.140625" style="5" customWidth="1"/>
    <col min="38" max="38" width="5.85546875" style="10" customWidth="1"/>
    <col min="39" max="42" width="22.85546875" style="5" customWidth="1"/>
    <col min="43" max="43" width="39" style="5" customWidth="1"/>
  </cols>
  <sheetData>
    <row r="1" spans="1:38" ht="45" customHeight="1" x14ac:dyDescent="0.25">
      <c r="A1" s="217" t="s">
        <v>141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AL1" s="5"/>
    </row>
    <row r="2" spans="1:38" ht="4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R2" s="218" t="s">
        <v>142</v>
      </c>
      <c r="S2" s="218"/>
      <c r="T2" s="218"/>
      <c r="AL2" s="5"/>
    </row>
    <row r="3" spans="1:38" ht="15.75" x14ac:dyDescent="0.25">
      <c r="A3" s="31" t="s">
        <v>143</v>
      </c>
      <c r="B3" s="219" t="s">
        <v>144</v>
      </c>
      <c r="C3" s="219"/>
      <c r="D3" s="219"/>
      <c r="E3" s="33"/>
      <c r="F3" s="34"/>
      <c r="G3" s="34"/>
      <c r="H3" s="34"/>
      <c r="I3" s="35"/>
      <c r="J3" s="35"/>
      <c r="K3" s="35"/>
      <c r="L3" s="35"/>
      <c r="M3" s="35"/>
      <c r="N3" s="36" t="s">
        <v>145</v>
      </c>
      <c r="O3" s="37">
        <f>'BDI CURITIBA'!B21</f>
        <v>0.20312328923078971</v>
      </c>
      <c r="P3" s="38"/>
      <c r="R3" s="39" t="s">
        <v>64</v>
      </c>
      <c r="S3" s="40">
        <f>R139</f>
        <v>417250.83419588319</v>
      </c>
      <c r="T3" s="41">
        <f>S3/$S$6</f>
        <v>0.88441440631994483</v>
      </c>
      <c r="AL3" s="5"/>
    </row>
    <row r="4" spans="1:38" ht="15.75" x14ac:dyDescent="0.25">
      <c r="A4" s="31" t="s">
        <v>146</v>
      </c>
      <c r="B4" s="219" t="s">
        <v>147</v>
      </c>
      <c r="C4" s="219"/>
      <c r="D4" s="219"/>
      <c r="E4" s="219"/>
      <c r="F4" s="219"/>
      <c r="G4" s="219"/>
      <c r="H4" s="219"/>
      <c r="I4" s="219"/>
      <c r="J4" s="219"/>
      <c r="K4" s="219"/>
      <c r="L4" s="32"/>
      <c r="M4" s="32"/>
      <c r="N4" s="32"/>
      <c r="O4" s="37"/>
      <c r="P4" s="42"/>
      <c r="R4" s="39" t="s">
        <v>86</v>
      </c>
      <c r="S4" s="40">
        <f>S139</f>
        <v>12205.795253465683</v>
      </c>
      <c r="T4" s="41">
        <f>S4/$S$6</f>
        <v>2.587168263800001E-2</v>
      </c>
      <c r="AL4" s="5"/>
    </row>
    <row r="5" spans="1:38" ht="15.75" x14ac:dyDescent="0.25">
      <c r="A5" s="31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32"/>
      <c r="M5" s="32"/>
      <c r="N5" s="32" t="s">
        <v>148</v>
      </c>
      <c r="O5" s="43">
        <v>45413</v>
      </c>
      <c r="P5" s="42"/>
      <c r="R5" s="39" t="s">
        <v>149</v>
      </c>
      <c r="S5" s="40">
        <f>T139</f>
        <v>42325.412107467346</v>
      </c>
      <c r="T5" s="41">
        <f>S5/$S$6</f>
        <v>8.9713911042055075E-2</v>
      </c>
      <c r="AL5" s="5"/>
    </row>
    <row r="6" spans="1:38" ht="15.75" x14ac:dyDescent="0.25">
      <c r="A6" s="44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45"/>
      <c r="M6" s="45"/>
      <c r="N6" s="45" t="s">
        <v>64</v>
      </c>
      <c r="O6" s="46">
        <v>45352</v>
      </c>
      <c r="P6" s="47" t="s">
        <v>150</v>
      </c>
      <c r="R6" s="39" t="s">
        <v>60</v>
      </c>
      <c r="S6" s="40">
        <f>SUM(S3:S5)</f>
        <v>471782.04155681626</v>
      </c>
      <c r="T6" s="41">
        <f>S6/$S$6</f>
        <v>1</v>
      </c>
      <c r="AL6" s="5"/>
    </row>
    <row r="7" spans="1:38" ht="45" customHeight="1" x14ac:dyDescent="0.25">
      <c r="A7" s="48"/>
      <c r="B7" s="221"/>
      <c r="C7" s="221"/>
      <c r="D7" s="49"/>
      <c r="E7" s="50"/>
      <c r="F7" s="51"/>
      <c r="G7" s="51"/>
      <c r="H7" s="51"/>
      <c r="I7" s="52"/>
      <c r="J7" s="52"/>
      <c r="K7" s="52"/>
      <c r="L7" s="52"/>
      <c r="M7" s="52"/>
      <c r="N7" s="53"/>
      <c r="O7" s="54"/>
      <c r="P7" s="49"/>
      <c r="AL7" s="5"/>
    </row>
    <row r="8" spans="1:38" ht="53.25" customHeight="1" x14ac:dyDescent="0.25">
      <c r="A8" s="222" t="s">
        <v>62</v>
      </c>
      <c r="B8" s="223" t="s">
        <v>63</v>
      </c>
      <c r="C8" s="223" t="s">
        <v>151</v>
      </c>
      <c r="D8" s="223" t="s">
        <v>2</v>
      </c>
      <c r="E8" s="223" t="s">
        <v>152</v>
      </c>
      <c r="F8" s="224" t="s">
        <v>153</v>
      </c>
      <c r="G8" s="224" t="s">
        <v>154</v>
      </c>
      <c r="H8" s="224" t="s">
        <v>4</v>
      </c>
      <c r="I8" s="224" t="s">
        <v>155</v>
      </c>
      <c r="J8" s="224"/>
      <c r="K8" s="224"/>
      <c r="L8" s="224" t="s">
        <v>156</v>
      </c>
      <c r="M8" s="224"/>
      <c r="N8" s="224"/>
      <c r="O8" s="224" t="s">
        <v>157</v>
      </c>
      <c r="P8" s="226" t="s">
        <v>158</v>
      </c>
      <c r="R8" s="225" t="s">
        <v>64</v>
      </c>
      <c r="S8" s="225" t="s">
        <v>86</v>
      </c>
      <c r="T8" s="225" t="s">
        <v>149</v>
      </c>
      <c r="AL8" s="5"/>
    </row>
    <row r="9" spans="1:38" ht="36" customHeight="1" x14ac:dyDescent="0.25">
      <c r="A9" s="222"/>
      <c r="B9" s="223"/>
      <c r="C9" s="223"/>
      <c r="D9" s="223"/>
      <c r="E9" s="223"/>
      <c r="F9" s="224"/>
      <c r="G9" s="224"/>
      <c r="H9" s="224"/>
      <c r="I9" s="55" t="s">
        <v>159</v>
      </c>
      <c r="J9" s="55" t="s">
        <v>160</v>
      </c>
      <c r="K9" s="55" t="s">
        <v>161</v>
      </c>
      <c r="L9" s="55" t="s">
        <v>159</v>
      </c>
      <c r="M9" s="55" t="s">
        <v>160</v>
      </c>
      <c r="N9" s="55" t="s">
        <v>161</v>
      </c>
      <c r="O9" s="224"/>
      <c r="P9" s="226"/>
      <c r="R9" s="225"/>
      <c r="S9" s="225"/>
      <c r="T9" s="225"/>
      <c r="AL9" s="5"/>
    </row>
    <row r="10" spans="1:38" x14ac:dyDescent="0.25">
      <c r="A10" s="56"/>
      <c r="B10" s="57"/>
      <c r="C10" s="57"/>
      <c r="D10" s="58"/>
      <c r="E10" s="59"/>
      <c r="F10" s="60"/>
      <c r="G10" s="60"/>
      <c r="H10" s="60"/>
      <c r="I10" s="61"/>
      <c r="J10" s="62"/>
      <c r="K10" s="62"/>
      <c r="L10" s="62"/>
      <c r="M10" s="63"/>
      <c r="N10" s="64"/>
      <c r="O10" s="65"/>
      <c r="P10" s="66"/>
      <c r="U10" s="29">
        <f t="shared" ref="U10:U41" si="0">IF(H10&lt;&gt;0,H10,U9)</f>
        <v>0</v>
      </c>
      <c r="AL10" s="5"/>
    </row>
    <row r="11" spans="1:38" ht="31.5" customHeight="1" x14ac:dyDescent="0.25">
      <c r="A11" s="67"/>
      <c r="B11" s="68"/>
      <c r="C11" s="69">
        <v>1</v>
      </c>
      <c r="D11" s="70" t="s">
        <v>162</v>
      </c>
      <c r="E11" s="71"/>
      <c r="F11" s="72"/>
      <c r="G11" s="72"/>
      <c r="H11" s="72"/>
      <c r="I11" s="73"/>
      <c r="J11" s="73"/>
      <c r="K11" s="73"/>
      <c r="L11" s="73"/>
      <c r="M11" s="73"/>
      <c r="N11" s="73"/>
      <c r="O11" s="73"/>
      <c r="P11" s="74">
        <f>SUM(P13:P36)</f>
        <v>54631.781008548329</v>
      </c>
      <c r="R11" s="40" t="str">
        <f t="shared" ref="R11:R42" si="1">IF(A11="SINAPI",U11*K11*(1+$O$3),"")</f>
        <v/>
      </c>
      <c r="S11" s="40" t="str">
        <f t="shared" ref="S11:S42" si="2">IF(A11="TCPO",U11*K11*(1+$O$3),"")</f>
        <v/>
      </c>
      <c r="T11" s="40" t="str">
        <f t="shared" ref="T11:T42" si="3">IF(A11="Cotação",U11*K11*(1+$O$3),"")</f>
        <v/>
      </c>
      <c r="U11" s="29">
        <f t="shared" si="0"/>
        <v>0</v>
      </c>
      <c r="AL11" s="5"/>
    </row>
    <row r="12" spans="1:38" ht="13.5" customHeight="1" x14ac:dyDescent="0.25">
      <c r="A12" s="75"/>
      <c r="B12" s="76"/>
      <c r="C12" s="77"/>
      <c r="D12" s="78"/>
      <c r="E12" s="76"/>
      <c r="F12" s="79"/>
      <c r="G12" s="79"/>
      <c r="H12" s="79"/>
      <c r="I12" s="80"/>
      <c r="J12" s="80"/>
      <c r="K12" s="81"/>
      <c r="L12" s="80"/>
      <c r="M12" s="80"/>
      <c r="N12" s="81"/>
      <c r="O12" s="81"/>
      <c r="P12" s="82"/>
      <c r="R12" s="40" t="str">
        <f t="shared" si="1"/>
        <v/>
      </c>
      <c r="S12" s="40" t="str">
        <f t="shared" si="2"/>
        <v/>
      </c>
      <c r="T12" s="40" t="str">
        <f t="shared" si="3"/>
        <v/>
      </c>
      <c r="U12" s="29">
        <f t="shared" si="0"/>
        <v>0</v>
      </c>
      <c r="AL12" s="5"/>
    </row>
    <row r="13" spans="1:38" ht="83.25" customHeight="1" x14ac:dyDescent="0.25">
      <c r="A13" s="83" t="s">
        <v>64</v>
      </c>
      <c r="B13" s="84">
        <v>90777</v>
      </c>
      <c r="C13" s="85" t="s">
        <v>25</v>
      </c>
      <c r="D13" s="86" t="s">
        <v>26</v>
      </c>
      <c r="E13" s="87" t="s">
        <v>27</v>
      </c>
      <c r="F13" s="87"/>
      <c r="G13" s="88">
        <v>122.82</v>
      </c>
      <c r="H13" s="89">
        <f>H15*2</f>
        <v>172</v>
      </c>
      <c r="I13" s="89">
        <v>0</v>
      </c>
      <c r="J13" s="89">
        <f>G13/2</f>
        <v>61.41</v>
      </c>
      <c r="K13" s="89">
        <f>I13+J13</f>
        <v>61.41</v>
      </c>
      <c r="L13" s="89">
        <f>H13*I13</f>
        <v>0</v>
      </c>
      <c r="M13" s="89">
        <f>H13*J13</f>
        <v>10562.519999999999</v>
      </c>
      <c r="N13" s="89">
        <f>L13+M13</f>
        <v>10562.519999999999</v>
      </c>
      <c r="O13" s="89">
        <f>N13*$O$3</f>
        <v>2145.4938049660004</v>
      </c>
      <c r="P13" s="90">
        <f>N13+O13</f>
        <v>12708.013804965998</v>
      </c>
      <c r="R13" s="40">
        <f t="shared" si="1"/>
        <v>12708.013804966</v>
      </c>
      <c r="S13" s="40" t="str">
        <f t="shared" si="2"/>
        <v/>
      </c>
      <c r="T13" s="40" t="str">
        <f t="shared" si="3"/>
        <v/>
      </c>
      <c r="U13" s="91">
        <f t="shared" si="0"/>
        <v>172</v>
      </c>
      <c r="AL13" s="5"/>
    </row>
    <row r="14" spans="1:38" ht="48" customHeight="1" x14ac:dyDescent="0.25">
      <c r="A14" s="92"/>
      <c r="B14" s="93"/>
      <c r="C14" s="94"/>
      <c r="D14" s="95"/>
      <c r="E14" s="93"/>
      <c r="F14" s="93"/>
      <c r="G14" s="96"/>
      <c r="H14" s="96"/>
      <c r="I14" s="95"/>
      <c r="J14" s="95"/>
      <c r="K14" s="97"/>
      <c r="L14" s="95"/>
      <c r="M14" s="95"/>
      <c r="N14" s="97"/>
      <c r="O14" s="98"/>
      <c r="P14" s="99"/>
      <c r="R14" s="40" t="str">
        <f t="shared" si="1"/>
        <v/>
      </c>
      <c r="S14" s="40" t="str">
        <f t="shared" si="2"/>
        <v/>
      </c>
      <c r="T14" s="40" t="str">
        <f t="shared" si="3"/>
        <v/>
      </c>
      <c r="U14" s="91">
        <f t="shared" si="0"/>
        <v>172</v>
      </c>
      <c r="AL14" s="5"/>
    </row>
    <row r="15" spans="1:38" ht="83.25" customHeight="1" x14ac:dyDescent="0.25">
      <c r="A15" s="83" t="s">
        <v>163</v>
      </c>
      <c r="B15" s="84"/>
      <c r="C15" s="85" t="s">
        <v>17</v>
      </c>
      <c r="D15" s="86" t="s">
        <v>18</v>
      </c>
      <c r="E15" s="87" t="s">
        <v>19</v>
      </c>
      <c r="F15" s="87"/>
      <c r="G15" s="88"/>
      <c r="H15" s="89">
        <v>86</v>
      </c>
      <c r="I15" s="89"/>
      <c r="J15" s="89">
        <f>SUM(J16:J17)</f>
        <v>147.16999999999999</v>
      </c>
      <c r="K15" s="89">
        <f>I15+J15</f>
        <v>147.16999999999999</v>
      </c>
      <c r="L15" s="89">
        <f>H15*I15</f>
        <v>0</v>
      </c>
      <c r="M15" s="89">
        <f>H15*J15</f>
        <v>12656.619999999999</v>
      </c>
      <c r="N15" s="89">
        <f>L15+M15</f>
        <v>12656.619999999999</v>
      </c>
      <c r="O15" s="89">
        <f>N15*$O$3</f>
        <v>2570.8542849441974</v>
      </c>
      <c r="P15" s="90">
        <f>N15+O15</f>
        <v>15227.474284944197</v>
      </c>
      <c r="R15" s="40" t="str">
        <f t="shared" si="1"/>
        <v/>
      </c>
      <c r="S15" s="40" t="str">
        <f t="shared" si="2"/>
        <v/>
      </c>
      <c r="T15" s="40" t="str">
        <f t="shared" si="3"/>
        <v/>
      </c>
      <c r="U15" s="91">
        <f t="shared" si="0"/>
        <v>86</v>
      </c>
      <c r="AL15" s="5"/>
    </row>
    <row r="16" spans="1:38" ht="66" customHeight="1" x14ac:dyDescent="0.25">
      <c r="A16" s="100" t="s">
        <v>64</v>
      </c>
      <c r="B16" s="101">
        <v>88278</v>
      </c>
      <c r="C16" s="102"/>
      <c r="D16" s="103" t="s">
        <v>92</v>
      </c>
      <c r="E16" s="104" t="s">
        <v>93</v>
      </c>
      <c r="F16" s="104">
        <v>2</v>
      </c>
      <c r="G16" s="105">
        <v>30.19</v>
      </c>
      <c r="H16" s="105"/>
      <c r="I16" s="106"/>
      <c r="J16" s="103">
        <f>F16*G16</f>
        <v>60.38</v>
      </c>
      <c r="K16" s="103">
        <f>I16+J16</f>
        <v>60.38</v>
      </c>
      <c r="L16" s="107"/>
      <c r="M16" s="107"/>
      <c r="N16" s="107"/>
      <c r="O16" s="107"/>
      <c r="P16" s="108"/>
      <c r="R16" s="40">
        <f t="shared" si="1"/>
        <v>6247.4342415229376</v>
      </c>
      <c r="S16" s="40" t="str">
        <f t="shared" si="2"/>
        <v/>
      </c>
      <c r="T16" s="40" t="str">
        <f t="shared" si="3"/>
        <v/>
      </c>
      <c r="U16" s="91">
        <f t="shared" si="0"/>
        <v>86</v>
      </c>
      <c r="AL16" s="5"/>
    </row>
    <row r="17" spans="1:38" ht="49.5" customHeight="1" x14ac:dyDescent="0.25">
      <c r="A17" s="100" t="s">
        <v>64</v>
      </c>
      <c r="B17" s="101">
        <v>88247</v>
      </c>
      <c r="C17" s="102"/>
      <c r="D17" s="103" t="s">
        <v>79</v>
      </c>
      <c r="E17" s="104" t="s">
        <v>27</v>
      </c>
      <c r="F17" s="104">
        <v>3</v>
      </c>
      <c r="G17" s="105">
        <v>28.93</v>
      </c>
      <c r="H17" s="105"/>
      <c r="I17" s="106"/>
      <c r="J17" s="103">
        <f>F17*G17</f>
        <v>86.789999999999992</v>
      </c>
      <c r="K17" s="103">
        <f>I17+J17</f>
        <v>86.789999999999992</v>
      </c>
      <c r="L17" s="107"/>
      <c r="M17" s="107"/>
      <c r="N17" s="107"/>
      <c r="O17" s="107"/>
      <c r="P17" s="108"/>
      <c r="R17" s="40">
        <f t="shared" si="1"/>
        <v>8980.0400434212606</v>
      </c>
      <c r="S17" s="40" t="str">
        <f t="shared" si="2"/>
        <v/>
      </c>
      <c r="T17" s="40" t="str">
        <f t="shared" si="3"/>
        <v/>
      </c>
      <c r="U17" s="91">
        <f t="shared" si="0"/>
        <v>86</v>
      </c>
      <c r="AL17" s="5"/>
    </row>
    <row r="18" spans="1:38" ht="58.5" customHeight="1" x14ac:dyDescent="0.25">
      <c r="A18" s="100"/>
      <c r="B18" s="101"/>
      <c r="C18" s="109"/>
      <c r="D18" s="103"/>
      <c r="E18" s="104"/>
      <c r="F18" s="104"/>
      <c r="G18" s="105"/>
      <c r="H18" s="105"/>
      <c r="I18" s="106"/>
      <c r="J18" s="103"/>
      <c r="K18" s="103"/>
      <c r="L18" s="107"/>
      <c r="M18" s="107"/>
      <c r="N18" s="107"/>
      <c r="O18" s="107"/>
      <c r="P18" s="108"/>
      <c r="R18" s="40" t="str">
        <f t="shared" si="1"/>
        <v/>
      </c>
      <c r="S18" s="40" t="str">
        <f t="shared" si="2"/>
        <v/>
      </c>
      <c r="T18" s="40" t="str">
        <f t="shared" si="3"/>
        <v/>
      </c>
      <c r="U18" s="91">
        <f t="shared" si="0"/>
        <v>86</v>
      </c>
      <c r="AL18" s="5"/>
    </row>
    <row r="19" spans="1:38" ht="83.25" customHeight="1" x14ac:dyDescent="0.25">
      <c r="A19" s="83" t="s">
        <v>164</v>
      </c>
      <c r="B19" s="84">
        <v>21102000010</v>
      </c>
      <c r="C19" s="85" t="s">
        <v>28</v>
      </c>
      <c r="D19" s="86" t="s">
        <v>29</v>
      </c>
      <c r="E19" s="87" t="s">
        <v>30</v>
      </c>
      <c r="F19" s="87"/>
      <c r="G19" s="88"/>
      <c r="H19" s="89">
        <f>H22*0.1</f>
        <v>130.82000000000002</v>
      </c>
      <c r="I19" s="89">
        <f>ROUND(SUM(I20),2)</f>
        <v>77.55</v>
      </c>
      <c r="J19" s="89">
        <f>ROUND(SUM(J20),2)</f>
        <v>0</v>
      </c>
      <c r="K19" s="89">
        <f>I19+J19</f>
        <v>77.55</v>
      </c>
      <c r="L19" s="89">
        <f>H19*I19</f>
        <v>10145.091000000002</v>
      </c>
      <c r="M19" s="89">
        <f>H19*J19</f>
        <v>0</v>
      </c>
      <c r="N19" s="89">
        <f>L19+M19</f>
        <v>10145.091000000002</v>
      </c>
      <c r="O19" s="89">
        <f>N19*$O$3</f>
        <v>2060.7042534656821</v>
      </c>
      <c r="P19" s="90">
        <f>N19+O19</f>
        <v>12205.795253465683</v>
      </c>
      <c r="R19" s="40" t="str">
        <f t="shared" si="1"/>
        <v/>
      </c>
      <c r="S19" s="40" t="str">
        <f t="shared" si="2"/>
        <v/>
      </c>
      <c r="T19" s="40" t="str">
        <f t="shared" si="3"/>
        <v/>
      </c>
      <c r="U19" s="91">
        <f t="shared" si="0"/>
        <v>130.82000000000002</v>
      </c>
      <c r="AL19" s="5"/>
    </row>
    <row r="20" spans="1:38" ht="85.5" customHeight="1" x14ac:dyDescent="0.25">
      <c r="A20" s="100" t="s">
        <v>86</v>
      </c>
      <c r="B20" s="110" t="s">
        <v>87</v>
      </c>
      <c r="C20" s="102"/>
      <c r="D20" s="103" t="s">
        <v>88</v>
      </c>
      <c r="E20" s="104" t="s">
        <v>56</v>
      </c>
      <c r="F20" s="104">
        <v>1</v>
      </c>
      <c r="G20" s="105">
        <f>0.5*155.1</f>
        <v>77.55</v>
      </c>
      <c r="H20" s="105"/>
      <c r="I20" s="106">
        <f>ROUNDDOWN(G20*F20,2)</f>
        <v>77.55</v>
      </c>
      <c r="J20" s="103"/>
      <c r="K20" s="103">
        <f>I20+J20</f>
        <v>77.55</v>
      </c>
      <c r="L20" s="107"/>
      <c r="M20" s="107"/>
      <c r="N20" s="107"/>
      <c r="O20" s="107"/>
      <c r="P20" s="108"/>
      <c r="Q20" s="111" t="s">
        <v>165</v>
      </c>
      <c r="R20" s="40" t="str">
        <f t="shared" si="1"/>
        <v/>
      </c>
      <c r="S20" s="40">
        <f t="shared" si="2"/>
        <v>12205.795253465683</v>
      </c>
      <c r="T20" s="40" t="str">
        <f t="shared" si="3"/>
        <v/>
      </c>
      <c r="U20" s="91">
        <f t="shared" si="0"/>
        <v>130.82000000000002</v>
      </c>
      <c r="AL20" s="5"/>
    </row>
    <row r="21" spans="1:38" ht="34.5" customHeight="1" x14ac:dyDescent="0.25">
      <c r="A21" s="100"/>
      <c r="B21" s="101"/>
      <c r="C21" s="109"/>
      <c r="D21" s="103"/>
      <c r="E21" s="104"/>
      <c r="F21" s="104"/>
      <c r="G21" s="105"/>
      <c r="H21" s="105"/>
      <c r="I21" s="106"/>
      <c r="J21" s="103"/>
      <c r="K21" s="107"/>
      <c r="L21" s="107"/>
      <c r="M21" s="107"/>
      <c r="N21" s="107"/>
      <c r="O21" s="107"/>
      <c r="P21" s="108"/>
      <c r="R21" s="40" t="str">
        <f t="shared" si="1"/>
        <v/>
      </c>
      <c r="S21" s="40" t="str">
        <f t="shared" si="2"/>
        <v/>
      </c>
      <c r="T21" s="40" t="str">
        <f t="shared" si="3"/>
        <v/>
      </c>
      <c r="U21" s="91">
        <f t="shared" si="0"/>
        <v>130.82000000000002</v>
      </c>
      <c r="AL21" s="5"/>
    </row>
    <row r="22" spans="1:38" ht="83.25" customHeight="1" x14ac:dyDescent="0.25">
      <c r="A22" s="83" t="s">
        <v>166</v>
      </c>
      <c r="B22" s="84" t="s">
        <v>167</v>
      </c>
      <c r="C22" s="85" t="s">
        <v>31</v>
      </c>
      <c r="D22" s="86" t="s">
        <v>32</v>
      </c>
      <c r="E22" s="87" t="s">
        <v>33</v>
      </c>
      <c r="F22" s="87"/>
      <c r="G22" s="88"/>
      <c r="H22" s="89">
        <f>(H55*10+H70*20+H85*30+H100*40)*0.62</f>
        <v>1308.2</v>
      </c>
      <c r="I22" s="89">
        <f>SUM(I23:I24)</f>
        <v>0</v>
      </c>
      <c r="J22" s="89">
        <f>SUM(J23:J24)</f>
        <v>5.7089999999999996</v>
      </c>
      <c r="K22" s="89">
        <f>I22+J22</f>
        <v>5.7089999999999996</v>
      </c>
      <c r="L22" s="89">
        <f>H22*I22</f>
        <v>0</v>
      </c>
      <c r="M22" s="89">
        <f>H22*J22</f>
        <v>7468.5137999999997</v>
      </c>
      <c r="N22" s="89">
        <f>L22+M22</f>
        <v>7468.5137999999997</v>
      </c>
      <c r="O22" s="89">
        <f>N22*$O$3</f>
        <v>1517.0290887215442</v>
      </c>
      <c r="P22" s="90">
        <f>N22+O22</f>
        <v>8985.5428887215439</v>
      </c>
      <c r="R22" s="40" t="str">
        <f t="shared" si="1"/>
        <v/>
      </c>
      <c r="S22" s="40" t="str">
        <f t="shared" si="2"/>
        <v/>
      </c>
      <c r="T22" s="40" t="str">
        <f t="shared" si="3"/>
        <v/>
      </c>
      <c r="U22" s="91">
        <f t="shared" si="0"/>
        <v>1308.2</v>
      </c>
      <c r="AL22" s="5"/>
    </row>
    <row r="23" spans="1:38" ht="56.25" customHeight="1" x14ac:dyDescent="0.25">
      <c r="A23" s="100" t="s">
        <v>64</v>
      </c>
      <c r="B23" s="101">
        <v>88278</v>
      </c>
      <c r="C23" s="102"/>
      <c r="D23" s="103" t="s">
        <v>168</v>
      </c>
      <c r="E23" s="104" t="s">
        <v>27</v>
      </c>
      <c r="F23" s="104">
        <v>0.1</v>
      </c>
      <c r="G23" s="105">
        <v>30.19</v>
      </c>
      <c r="H23" s="105"/>
      <c r="I23" s="106"/>
      <c r="J23" s="103">
        <f>F23*G23</f>
        <v>3.0190000000000001</v>
      </c>
      <c r="K23" s="103">
        <f>I23+J23</f>
        <v>3.0190000000000001</v>
      </c>
      <c r="L23" s="107"/>
      <c r="M23" s="107"/>
      <c r="N23" s="107"/>
      <c r="O23" s="107"/>
      <c r="P23" s="108"/>
      <c r="R23" s="40">
        <f t="shared" si="1"/>
        <v>4751.6822527676204</v>
      </c>
      <c r="S23" s="40" t="str">
        <f t="shared" si="2"/>
        <v/>
      </c>
      <c r="T23" s="40" t="str">
        <f t="shared" si="3"/>
        <v/>
      </c>
      <c r="U23" s="91">
        <f t="shared" si="0"/>
        <v>1308.2</v>
      </c>
      <c r="AL23" s="5"/>
    </row>
    <row r="24" spans="1:38" ht="33.75" customHeight="1" x14ac:dyDescent="0.25">
      <c r="A24" s="100" t="s">
        <v>64</v>
      </c>
      <c r="B24" s="101">
        <v>88316</v>
      </c>
      <c r="C24" s="102"/>
      <c r="D24" s="103" t="s">
        <v>75</v>
      </c>
      <c r="E24" s="104" t="s">
        <v>27</v>
      </c>
      <c r="F24" s="104">
        <v>0.1</v>
      </c>
      <c r="G24" s="105">
        <v>26.9</v>
      </c>
      <c r="H24" s="105"/>
      <c r="I24" s="106"/>
      <c r="J24" s="103">
        <f>F24*G24</f>
        <v>2.69</v>
      </c>
      <c r="K24" s="103">
        <f>I24+J24</f>
        <v>2.69</v>
      </c>
      <c r="L24" s="107"/>
      <c r="M24" s="107"/>
      <c r="N24" s="107"/>
      <c r="O24" s="107"/>
      <c r="P24" s="108"/>
      <c r="R24" s="40">
        <f t="shared" si="1"/>
        <v>4233.8606359539244</v>
      </c>
      <c r="S24" s="40" t="str">
        <f t="shared" si="2"/>
        <v/>
      </c>
      <c r="T24" s="40" t="str">
        <f t="shared" si="3"/>
        <v/>
      </c>
      <c r="U24" s="91">
        <f t="shared" si="0"/>
        <v>1308.2</v>
      </c>
      <c r="AL24" s="5"/>
    </row>
    <row r="25" spans="1:38" ht="48" customHeight="1" x14ac:dyDescent="0.25">
      <c r="A25" s="100"/>
      <c r="B25" s="101"/>
      <c r="C25" s="109"/>
      <c r="D25" s="103"/>
      <c r="E25" s="104"/>
      <c r="F25" s="104"/>
      <c r="G25" s="105"/>
      <c r="H25" s="105"/>
      <c r="I25" s="106"/>
      <c r="J25" s="103"/>
      <c r="K25" s="103"/>
      <c r="L25" s="107"/>
      <c r="M25" s="107"/>
      <c r="N25" s="107"/>
      <c r="O25" s="107"/>
      <c r="P25" s="108"/>
      <c r="R25" s="40" t="str">
        <f t="shared" si="1"/>
        <v/>
      </c>
      <c r="S25" s="40" t="str">
        <f t="shared" si="2"/>
        <v/>
      </c>
      <c r="T25" s="40" t="str">
        <f t="shared" si="3"/>
        <v/>
      </c>
      <c r="U25" s="91">
        <f t="shared" si="0"/>
        <v>1308.2</v>
      </c>
      <c r="AL25" s="5"/>
    </row>
    <row r="26" spans="1:38" ht="83.25" customHeight="1" x14ac:dyDescent="0.25">
      <c r="A26" s="83" t="s">
        <v>166</v>
      </c>
      <c r="B26" s="84"/>
      <c r="C26" s="85" t="s">
        <v>54</v>
      </c>
      <c r="D26" s="86" t="s">
        <v>169</v>
      </c>
      <c r="E26" s="87" t="s">
        <v>56</v>
      </c>
      <c r="F26" s="87"/>
      <c r="G26" s="88"/>
      <c r="H26" s="89">
        <f>H15</f>
        <v>86</v>
      </c>
      <c r="I26" s="89">
        <f>ROUND(SUM(I27:I28),2)</f>
        <v>1.43</v>
      </c>
      <c r="J26" s="89">
        <f>ROUND(SUM(J27:J28),2)</f>
        <v>2.69</v>
      </c>
      <c r="K26" s="89">
        <f>I26+J26</f>
        <v>4.12</v>
      </c>
      <c r="L26" s="89">
        <f>H26*I26</f>
        <v>122.97999999999999</v>
      </c>
      <c r="M26" s="89">
        <f>H26*J26</f>
        <v>231.34</v>
      </c>
      <c r="N26" s="89">
        <f>L26+M26</f>
        <v>354.32</v>
      </c>
      <c r="O26" s="89">
        <f>N26*$O$3</f>
        <v>71.970643840253402</v>
      </c>
      <c r="P26" s="90">
        <f>N26+O26</f>
        <v>426.29064384025338</v>
      </c>
      <c r="R26" s="40" t="str">
        <f t="shared" si="1"/>
        <v/>
      </c>
      <c r="S26" s="40" t="str">
        <f t="shared" si="2"/>
        <v/>
      </c>
      <c r="T26" s="40" t="str">
        <f t="shared" si="3"/>
        <v/>
      </c>
      <c r="U26" s="91">
        <f t="shared" si="0"/>
        <v>86</v>
      </c>
      <c r="AL26" s="5"/>
    </row>
    <row r="27" spans="1:38" ht="26.25" customHeight="1" x14ac:dyDescent="0.25">
      <c r="A27" s="112" t="s">
        <v>64</v>
      </c>
      <c r="B27" s="110">
        <v>88316</v>
      </c>
      <c r="C27" s="102"/>
      <c r="D27" s="107" t="s">
        <v>170</v>
      </c>
      <c r="E27" s="113" t="s">
        <v>84</v>
      </c>
      <c r="F27" s="114">
        <v>0.1</v>
      </c>
      <c r="G27" s="105">
        <v>26.9</v>
      </c>
      <c r="H27" s="105"/>
      <c r="I27" s="115"/>
      <c r="J27" s="115">
        <f>F27*G27</f>
        <v>2.69</v>
      </c>
      <c r="K27" s="103">
        <f>I27+J27</f>
        <v>2.69</v>
      </c>
      <c r="L27" s="115"/>
      <c r="M27" s="115"/>
      <c r="N27" s="107"/>
      <c r="O27" s="107"/>
      <c r="P27" s="108"/>
      <c r="R27" s="40">
        <f t="shared" si="1"/>
        <v>278.33054173065091</v>
      </c>
      <c r="S27" s="40" t="str">
        <f t="shared" si="2"/>
        <v/>
      </c>
      <c r="T27" s="40" t="str">
        <f t="shared" si="3"/>
        <v/>
      </c>
      <c r="U27" s="91">
        <f t="shared" si="0"/>
        <v>86</v>
      </c>
      <c r="AL27" s="5"/>
    </row>
    <row r="28" spans="1:38" ht="29.25" customHeight="1" x14ac:dyDescent="0.25">
      <c r="A28" s="112" t="s">
        <v>64</v>
      </c>
      <c r="B28" s="110">
        <v>3777</v>
      </c>
      <c r="C28" s="102"/>
      <c r="D28" s="107" t="s">
        <v>117</v>
      </c>
      <c r="E28" s="113" t="s">
        <v>56</v>
      </c>
      <c r="F28" s="113">
        <v>1.1000000000000001</v>
      </c>
      <c r="G28" s="105">
        <v>1.3</v>
      </c>
      <c r="H28" s="105"/>
      <c r="I28" s="115">
        <f>F28*G28</f>
        <v>1.4300000000000002</v>
      </c>
      <c r="J28" s="115"/>
      <c r="K28" s="103">
        <f>I28+J28</f>
        <v>1.4300000000000002</v>
      </c>
      <c r="L28" s="115"/>
      <c r="M28" s="115"/>
      <c r="N28" s="107"/>
      <c r="O28" s="107"/>
      <c r="P28" s="108"/>
      <c r="R28" s="40">
        <f t="shared" si="1"/>
        <v>147.96010210960253</v>
      </c>
      <c r="S28" s="40" t="str">
        <f t="shared" si="2"/>
        <v/>
      </c>
      <c r="T28" s="40" t="str">
        <f t="shared" si="3"/>
        <v/>
      </c>
      <c r="U28" s="91">
        <f t="shared" si="0"/>
        <v>86</v>
      </c>
      <c r="AL28" s="5"/>
    </row>
    <row r="29" spans="1:38" ht="15.75" customHeight="1" x14ac:dyDescent="0.25">
      <c r="A29" s="116"/>
      <c r="B29" s="76"/>
      <c r="C29" s="117"/>
      <c r="D29" s="118"/>
      <c r="E29" s="119"/>
      <c r="F29" s="119"/>
      <c r="G29" s="120"/>
      <c r="H29" s="120"/>
      <c r="I29" s="115"/>
      <c r="J29" s="115"/>
      <c r="K29" s="118"/>
      <c r="L29" s="115"/>
      <c r="M29" s="115"/>
      <c r="N29" s="118"/>
      <c r="O29" s="118"/>
      <c r="P29" s="82"/>
      <c r="R29" s="40" t="str">
        <f t="shared" si="1"/>
        <v/>
      </c>
      <c r="S29" s="40" t="str">
        <f t="shared" si="2"/>
        <v/>
      </c>
      <c r="T29" s="40" t="str">
        <f t="shared" si="3"/>
        <v/>
      </c>
      <c r="U29" s="91">
        <f t="shared" si="0"/>
        <v>86</v>
      </c>
      <c r="AL29" s="5"/>
    </row>
    <row r="30" spans="1:38" ht="83.25" customHeight="1" x14ac:dyDescent="0.25">
      <c r="A30" s="83" t="s">
        <v>166</v>
      </c>
      <c r="B30" s="84"/>
      <c r="C30" s="85" t="s">
        <v>52</v>
      </c>
      <c r="D30" s="86" t="s">
        <v>53</v>
      </c>
      <c r="E30" s="87" t="s">
        <v>10</v>
      </c>
      <c r="F30" s="87"/>
      <c r="G30" s="88"/>
      <c r="H30" s="89">
        <v>10</v>
      </c>
      <c r="I30" s="89">
        <f>ROUND(SUM(I31:I32),2)</f>
        <v>34.159999999999997</v>
      </c>
      <c r="J30" s="89">
        <f>ROUND(SUM(J31:J32),2)</f>
        <v>48.63</v>
      </c>
      <c r="K30" s="89">
        <f>I30+J30</f>
        <v>82.789999999999992</v>
      </c>
      <c r="L30" s="89">
        <f>H30*I30</f>
        <v>341.59999999999997</v>
      </c>
      <c r="M30" s="89">
        <f>H30*J30</f>
        <v>486.3</v>
      </c>
      <c r="N30" s="89">
        <f>L30+M30</f>
        <v>827.9</v>
      </c>
      <c r="O30" s="89">
        <f>N30*$O$3</f>
        <v>168.16577115417078</v>
      </c>
      <c r="P30" s="90">
        <f>N30+O30</f>
        <v>996.06577115417076</v>
      </c>
      <c r="R30" s="40" t="str">
        <f t="shared" si="1"/>
        <v/>
      </c>
      <c r="S30" s="40" t="str">
        <f t="shared" si="2"/>
        <v/>
      </c>
      <c r="T30" s="40" t="str">
        <f t="shared" si="3"/>
        <v/>
      </c>
      <c r="U30" s="91">
        <f t="shared" si="0"/>
        <v>10</v>
      </c>
      <c r="AL30" s="5"/>
    </row>
    <row r="31" spans="1:38" ht="26.25" customHeight="1" x14ac:dyDescent="0.25">
      <c r="A31" s="112" t="s">
        <v>64</v>
      </c>
      <c r="B31" s="110">
        <v>90437</v>
      </c>
      <c r="C31" s="102"/>
      <c r="D31" s="107" t="s">
        <v>110</v>
      </c>
      <c r="E31" s="113" t="s">
        <v>10</v>
      </c>
      <c r="F31" s="114">
        <v>1</v>
      </c>
      <c r="G31" s="105">
        <v>48.63</v>
      </c>
      <c r="H31" s="105"/>
      <c r="I31" s="115"/>
      <c r="J31" s="115">
        <f>F31*G31</f>
        <v>48.63</v>
      </c>
      <c r="K31" s="103">
        <f>I31+J31</f>
        <v>48.63</v>
      </c>
      <c r="L31" s="115"/>
      <c r="M31" s="115"/>
      <c r="N31" s="107"/>
      <c r="O31" s="107"/>
      <c r="P31" s="108"/>
      <c r="R31" s="40">
        <f t="shared" si="1"/>
        <v>585.07885555293308</v>
      </c>
      <c r="S31" s="40" t="str">
        <f t="shared" si="2"/>
        <v/>
      </c>
      <c r="T31" s="40" t="str">
        <f t="shared" si="3"/>
        <v/>
      </c>
      <c r="U31" s="91">
        <f t="shared" si="0"/>
        <v>10</v>
      </c>
      <c r="AL31" s="5"/>
    </row>
    <row r="32" spans="1:38" ht="29.25" customHeight="1" x14ac:dyDescent="0.25">
      <c r="A32" s="112" t="s">
        <v>64</v>
      </c>
      <c r="B32" s="121">
        <v>43143</v>
      </c>
      <c r="C32" s="102"/>
      <c r="D32" s="107" t="s">
        <v>114</v>
      </c>
      <c r="E32" s="113" t="s">
        <v>102</v>
      </c>
      <c r="F32" s="113">
        <v>1</v>
      </c>
      <c r="G32" s="105">
        <v>34.159999999999997</v>
      </c>
      <c r="H32" s="105"/>
      <c r="I32" s="115">
        <f>F32*G32</f>
        <v>34.159999999999997</v>
      </c>
      <c r="J32" s="115"/>
      <c r="K32" s="103">
        <f>I32+J32</f>
        <v>34.159999999999997</v>
      </c>
      <c r="L32" s="115"/>
      <c r="M32" s="115"/>
      <c r="N32" s="107"/>
      <c r="O32" s="107"/>
      <c r="P32" s="108"/>
      <c r="R32" s="40">
        <f t="shared" si="1"/>
        <v>410.98691560123774</v>
      </c>
      <c r="S32" s="40" t="str">
        <f t="shared" si="2"/>
        <v/>
      </c>
      <c r="T32" s="40" t="str">
        <f t="shared" si="3"/>
        <v/>
      </c>
      <c r="U32" s="91">
        <f t="shared" si="0"/>
        <v>10</v>
      </c>
      <c r="AL32" s="5"/>
    </row>
    <row r="33" spans="1:38" ht="15.75" customHeight="1" x14ac:dyDescent="0.25">
      <c r="A33" s="116"/>
      <c r="B33" s="76"/>
      <c r="C33" s="117"/>
      <c r="D33" s="118"/>
      <c r="E33" s="119"/>
      <c r="F33" s="119"/>
      <c r="G33" s="120"/>
      <c r="H33" s="120"/>
      <c r="I33" s="115"/>
      <c r="J33" s="115"/>
      <c r="K33" s="118"/>
      <c r="L33" s="115"/>
      <c r="M33" s="115"/>
      <c r="N33" s="118"/>
      <c r="O33" s="118"/>
      <c r="P33" s="82"/>
      <c r="R33" s="40" t="str">
        <f t="shared" si="1"/>
        <v/>
      </c>
      <c r="S33" s="40" t="str">
        <f t="shared" si="2"/>
        <v/>
      </c>
      <c r="T33" s="40" t="str">
        <f t="shared" si="3"/>
        <v/>
      </c>
      <c r="U33" s="91">
        <f t="shared" si="0"/>
        <v>10</v>
      </c>
      <c r="AL33" s="5"/>
    </row>
    <row r="34" spans="1:38" ht="83.25" customHeight="1" x14ac:dyDescent="0.25">
      <c r="A34" s="122" t="s">
        <v>76</v>
      </c>
      <c r="B34" s="84"/>
      <c r="C34" s="85" t="s">
        <v>46</v>
      </c>
      <c r="D34" s="86" t="s">
        <v>47</v>
      </c>
      <c r="E34" s="87" t="s">
        <v>10</v>
      </c>
      <c r="F34" s="87"/>
      <c r="G34" s="123">
        <f>'MAPA DE COTAÇÕES'!K5</f>
        <v>523.33333333333337</v>
      </c>
      <c r="H34" s="124">
        <v>4</v>
      </c>
      <c r="I34" s="89">
        <f>G34</f>
        <v>523.33333333333337</v>
      </c>
      <c r="J34" s="89"/>
      <c r="K34" s="89">
        <f>I34+J34</f>
        <v>523.33333333333337</v>
      </c>
      <c r="L34" s="89">
        <f>H34*I34</f>
        <v>2093.3333333333335</v>
      </c>
      <c r="M34" s="89">
        <f>H34*J34</f>
        <v>0</v>
      </c>
      <c r="N34" s="89">
        <f>L34+M34</f>
        <v>2093.3333333333335</v>
      </c>
      <c r="O34" s="89">
        <f>N34*$O$3</f>
        <v>425.20475212311982</v>
      </c>
      <c r="P34" s="90">
        <f>N34+O34</f>
        <v>2518.5380854564532</v>
      </c>
      <c r="R34" s="40" t="str">
        <f t="shared" si="1"/>
        <v/>
      </c>
      <c r="S34" s="40" t="str">
        <f t="shared" si="2"/>
        <v/>
      </c>
      <c r="T34" s="40">
        <f t="shared" si="3"/>
        <v>2518.5380854564532</v>
      </c>
      <c r="U34" s="91">
        <f t="shared" si="0"/>
        <v>4</v>
      </c>
      <c r="AL34" s="5"/>
    </row>
    <row r="35" spans="1:38" ht="15.75" customHeight="1" x14ac:dyDescent="0.25">
      <c r="A35" s="125"/>
      <c r="B35" s="126"/>
      <c r="C35" s="127"/>
      <c r="D35" s="128"/>
      <c r="E35" s="129"/>
      <c r="F35" s="129"/>
      <c r="G35" s="130"/>
      <c r="H35" s="130"/>
      <c r="I35" s="128"/>
      <c r="J35" s="128"/>
      <c r="K35" s="118"/>
      <c r="L35" s="128"/>
      <c r="M35" s="128"/>
      <c r="N35" s="118"/>
      <c r="O35" s="131"/>
      <c r="P35" s="82"/>
      <c r="R35" s="40" t="str">
        <f t="shared" si="1"/>
        <v/>
      </c>
      <c r="S35" s="40" t="str">
        <f t="shared" si="2"/>
        <v/>
      </c>
      <c r="T35" s="40" t="str">
        <f t="shared" si="3"/>
        <v/>
      </c>
      <c r="U35" s="91">
        <f t="shared" si="0"/>
        <v>4</v>
      </c>
      <c r="AL35" s="5"/>
    </row>
    <row r="36" spans="1:38" ht="83.25" customHeight="1" x14ac:dyDescent="0.25">
      <c r="A36" s="122" t="s">
        <v>76</v>
      </c>
      <c r="B36" s="84"/>
      <c r="C36" s="85" t="s">
        <v>50</v>
      </c>
      <c r="D36" s="86" t="s">
        <v>51</v>
      </c>
      <c r="E36" s="87" t="s">
        <v>10</v>
      </c>
      <c r="F36" s="87"/>
      <c r="G36" s="123">
        <f>'MAPA DE COTAÇÕES'!K6</f>
        <v>650</v>
      </c>
      <c r="H36" s="124">
        <v>2</v>
      </c>
      <c r="I36" s="89">
        <f>G36</f>
        <v>650</v>
      </c>
      <c r="J36" s="89"/>
      <c r="K36" s="89">
        <f>I36+J36</f>
        <v>650</v>
      </c>
      <c r="L36" s="89">
        <f>H36*I36</f>
        <v>1300</v>
      </c>
      <c r="M36" s="89">
        <f>H36*J36</f>
        <v>0</v>
      </c>
      <c r="N36" s="89">
        <f>L36+M36</f>
        <v>1300</v>
      </c>
      <c r="O36" s="89">
        <f>N36*$O$3</f>
        <v>264.06027600002659</v>
      </c>
      <c r="P36" s="90">
        <f>N36+O36</f>
        <v>1564.0602760000265</v>
      </c>
      <c r="R36" s="40" t="str">
        <f t="shared" si="1"/>
        <v/>
      </c>
      <c r="S36" s="40" t="str">
        <f t="shared" si="2"/>
        <v/>
      </c>
      <c r="T36" s="40">
        <f t="shared" si="3"/>
        <v>1564.0602760000265</v>
      </c>
      <c r="U36" s="91">
        <f t="shared" si="0"/>
        <v>2</v>
      </c>
      <c r="AL36" s="5"/>
    </row>
    <row r="37" spans="1:38" ht="15.75" customHeight="1" x14ac:dyDescent="0.25">
      <c r="A37" s="125"/>
      <c r="B37" s="126"/>
      <c r="C37" s="127"/>
      <c r="D37" s="128"/>
      <c r="E37" s="129"/>
      <c r="F37" s="129"/>
      <c r="G37" s="130"/>
      <c r="H37" s="130"/>
      <c r="I37" s="128"/>
      <c r="J37" s="128"/>
      <c r="K37" s="118"/>
      <c r="L37" s="128"/>
      <c r="M37" s="128"/>
      <c r="N37" s="118"/>
      <c r="O37" s="131"/>
      <c r="P37" s="82"/>
      <c r="R37" s="40" t="str">
        <f t="shared" si="1"/>
        <v/>
      </c>
      <c r="S37" s="40" t="str">
        <f t="shared" si="2"/>
        <v/>
      </c>
      <c r="T37" s="40" t="str">
        <f t="shared" si="3"/>
        <v/>
      </c>
      <c r="U37" s="91">
        <f t="shared" si="0"/>
        <v>2</v>
      </c>
      <c r="AL37" s="5"/>
    </row>
    <row r="38" spans="1:38" ht="15.75" customHeight="1" x14ac:dyDescent="0.25">
      <c r="A38" s="132"/>
      <c r="B38" s="68"/>
      <c r="C38" s="69">
        <v>2</v>
      </c>
      <c r="D38" s="133" t="s">
        <v>171</v>
      </c>
      <c r="E38" s="134"/>
      <c r="F38" s="134"/>
      <c r="G38" s="135"/>
      <c r="H38" s="135"/>
      <c r="I38" s="133"/>
      <c r="J38" s="133"/>
      <c r="K38" s="133"/>
      <c r="L38" s="133"/>
      <c r="M38" s="133"/>
      <c r="N38" s="133"/>
      <c r="O38" s="133"/>
      <c r="P38" s="74">
        <f>SUM(P40:P114)</f>
        <v>379783.88602476317</v>
      </c>
      <c r="R38" s="40" t="str">
        <f t="shared" si="1"/>
        <v/>
      </c>
      <c r="S38" s="40" t="str">
        <f t="shared" si="2"/>
        <v/>
      </c>
      <c r="T38" s="40" t="str">
        <f t="shared" si="3"/>
        <v/>
      </c>
      <c r="U38" s="91">
        <f t="shared" si="0"/>
        <v>2</v>
      </c>
      <c r="AL38" s="5"/>
    </row>
    <row r="39" spans="1:38" ht="13.5" customHeight="1" x14ac:dyDescent="0.25">
      <c r="A39" s="116"/>
      <c r="B39" s="76"/>
      <c r="C39" s="117"/>
      <c r="D39" s="118"/>
      <c r="E39" s="119"/>
      <c r="F39" s="119"/>
      <c r="G39" s="120"/>
      <c r="H39" s="120"/>
      <c r="I39" s="136"/>
      <c r="J39" s="136"/>
      <c r="K39" s="118"/>
      <c r="L39" s="136"/>
      <c r="M39" s="136"/>
      <c r="N39" s="118"/>
      <c r="O39" s="118"/>
      <c r="P39" s="82"/>
      <c r="R39" s="40" t="str">
        <f t="shared" si="1"/>
        <v/>
      </c>
      <c r="S39" s="40" t="str">
        <f t="shared" si="2"/>
        <v/>
      </c>
      <c r="T39" s="40" t="str">
        <f t="shared" si="3"/>
        <v/>
      </c>
      <c r="U39" s="91">
        <f t="shared" si="0"/>
        <v>2</v>
      </c>
      <c r="AL39" s="5"/>
    </row>
    <row r="40" spans="1:38" ht="83.25" customHeight="1" x14ac:dyDescent="0.25">
      <c r="A40" s="83" t="s">
        <v>172</v>
      </c>
      <c r="B40" s="84"/>
      <c r="C40" s="85" t="s">
        <v>48</v>
      </c>
      <c r="D40" s="86" t="s">
        <v>49</v>
      </c>
      <c r="E40" s="87" t="s">
        <v>10</v>
      </c>
      <c r="F40" s="87"/>
      <c r="G40" s="88"/>
      <c r="H40" s="124">
        <v>5</v>
      </c>
      <c r="I40" s="89">
        <f>ROUND(SUM(I41:I44),2)</f>
        <v>191.67</v>
      </c>
      <c r="J40" s="89">
        <f>ROUND(SUM(J41:J44),2)</f>
        <v>82.15</v>
      </c>
      <c r="K40" s="89">
        <f>I40+J40</f>
        <v>273.82</v>
      </c>
      <c r="L40" s="89">
        <f>H40*I40</f>
        <v>958.34999999999991</v>
      </c>
      <c r="M40" s="89">
        <f>H40*J40</f>
        <v>410.75</v>
      </c>
      <c r="N40" s="89">
        <f>L40+M40</f>
        <v>1369.1</v>
      </c>
      <c r="O40" s="89">
        <f>N40*$O$3</f>
        <v>278.09609528587418</v>
      </c>
      <c r="P40" s="90">
        <f>N40+O40</f>
        <v>1647.196095285874</v>
      </c>
      <c r="R40" s="40" t="str">
        <f t="shared" si="1"/>
        <v/>
      </c>
      <c r="S40" s="40" t="str">
        <f t="shared" si="2"/>
        <v/>
      </c>
      <c r="T40" s="40" t="str">
        <f t="shared" si="3"/>
        <v/>
      </c>
      <c r="U40" s="91">
        <f t="shared" si="0"/>
        <v>5</v>
      </c>
      <c r="AL40" s="5"/>
    </row>
    <row r="41" spans="1:38" ht="37.5" customHeight="1" x14ac:dyDescent="0.25">
      <c r="A41" s="100" t="s">
        <v>64</v>
      </c>
      <c r="B41" s="110">
        <v>89356</v>
      </c>
      <c r="C41" s="102"/>
      <c r="D41" s="103" t="s">
        <v>108</v>
      </c>
      <c r="E41" s="104" t="s">
        <v>67</v>
      </c>
      <c r="F41" s="104">
        <v>5</v>
      </c>
      <c r="G41" s="105">
        <v>27.91</v>
      </c>
      <c r="H41" s="105"/>
      <c r="I41" s="106">
        <f>ROUNDDOWN(F41*G41,2)*0.7</f>
        <v>97.685000000000002</v>
      </c>
      <c r="J41" s="103">
        <f>ROUNDDOWN(G41*F41,2)*0.3</f>
        <v>41.865000000000002</v>
      </c>
      <c r="K41" s="103">
        <f>I41+J41</f>
        <v>139.55000000000001</v>
      </c>
      <c r="L41" s="107"/>
      <c r="M41" s="107"/>
      <c r="N41" s="107"/>
      <c r="O41" s="107"/>
      <c r="P41" s="108"/>
      <c r="R41" s="40">
        <f t="shared" si="1"/>
        <v>839.47927506078349</v>
      </c>
      <c r="S41" s="40" t="str">
        <f t="shared" si="2"/>
        <v/>
      </c>
      <c r="T41" s="40" t="str">
        <f t="shared" si="3"/>
        <v/>
      </c>
      <c r="U41" s="91">
        <f t="shared" si="0"/>
        <v>5</v>
      </c>
      <c r="AL41" s="5"/>
    </row>
    <row r="42" spans="1:38" ht="37.5" customHeight="1" x14ac:dyDescent="0.25">
      <c r="A42" s="100" t="s">
        <v>64</v>
      </c>
      <c r="B42" s="110">
        <v>89362</v>
      </c>
      <c r="C42" s="102"/>
      <c r="D42" s="103" t="s">
        <v>119</v>
      </c>
      <c r="E42" s="104" t="s">
        <v>120</v>
      </c>
      <c r="F42" s="104">
        <v>2</v>
      </c>
      <c r="G42" s="105">
        <v>11.3</v>
      </c>
      <c r="H42" s="105"/>
      <c r="I42" s="106">
        <f>ROUNDDOWN(F42*G42,2)*0.7</f>
        <v>15.82</v>
      </c>
      <c r="J42" s="103">
        <f>ROUNDDOWN(G42*F42,2)*0.3</f>
        <v>6.78</v>
      </c>
      <c r="K42" s="103">
        <f>I42+J42</f>
        <v>22.6</v>
      </c>
      <c r="L42" s="107"/>
      <c r="M42" s="107"/>
      <c r="N42" s="107"/>
      <c r="O42" s="107"/>
      <c r="P42" s="108"/>
      <c r="R42" s="40">
        <f t="shared" si="1"/>
        <v>135.95293168307924</v>
      </c>
      <c r="S42" s="40" t="str">
        <f t="shared" si="2"/>
        <v/>
      </c>
      <c r="T42" s="40" t="str">
        <f t="shared" si="3"/>
        <v/>
      </c>
      <c r="U42" s="91">
        <f t="shared" ref="U42:U73" si="4">IF(H42&lt;&gt;0,H42,U41)</f>
        <v>5</v>
      </c>
      <c r="AL42" s="5"/>
    </row>
    <row r="43" spans="1:38" ht="37.5" customHeight="1" x14ac:dyDescent="0.25">
      <c r="A43" s="100" t="s">
        <v>64</v>
      </c>
      <c r="B43" s="110">
        <v>90443</v>
      </c>
      <c r="C43" s="102"/>
      <c r="D43" s="103" t="s">
        <v>122</v>
      </c>
      <c r="E43" s="104" t="s">
        <v>67</v>
      </c>
      <c r="F43" s="104">
        <v>2.14</v>
      </c>
      <c r="G43" s="105">
        <v>9.8000000000000007</v>
      </c>
      <c r="H43" s="105"/>
      <c r="I43" s="106">
        <f>ROUNDDOWN(F43*G43,2)*0.7</f>
        <v>14.678999999999998</v>
      </c>
      <c r="J43" s="103">
        <f>ROUNDDOWN(G43*F43,2)*0.3</f>
        <v>6.2909999999999995</v>
      </c>
      <c r="K43" s="103">
        <f>I43+J43</f>
        <v>20.97</v>
      </c>
      <c r="L43" s="107"/>
      <c r="M43" s="107"/>
      <c r="N43" s="107"/>
      <c r="O43" s="107"/>
      <c r="P43" s="108"/>
      <c r="R43" s="40">
        <f t="shared" ref="R43:R74" si="5">IF(A43="SINAPI",U43*K43*(1+$O$3),"")</f>
        <v>126.1474768758483</v>
      </c>
      <c r="S43" s="40" t="str">
        <f t="shared" ref="S43:S74" si="6">IF(A43="TCPO",U43*K43*(1+$O$3),"")</f>
        <v/>
      </c>
      <c r="T43" s="40" t="str">
        <f t="shared" ref="T43:T74" si="7">IF(A43="Cotação",U43*K43*(1+$O$3),"")</f>
        <v/>
      </c>
      <c r="U43" s="91">
        <f t="shared" si="4"/>
        <v>5</v>
      </c>
      <c r="AL43" s="5"/>
    </row>
    <row r="44" spans="1:38" ht="37.5" customHeight="1" x14ac:dyDescent="0.25">
      <c r="A44" s="100" t="s">
        <v>64</v>
      </c>
      <c r="B44" s="110">
        <v>90466</v>
      </c>
      <c r="C44" s="102"/>
      <c r="D44" s="103" t="s">
        <v>112</v>
      </c>
      <c r="E44" s="104" t="s">
        <v>67</v>
      </c>
      <c r="F44" s="104">
        <v>5</v>
      </c>
      <c r="G44" s="105">
        <v>18.14</v>
      </c>
      <c r="H44" s="105"/>
      <c r="I44" s="106">
        <f>ROUNDDOWN(F44*G44,2)*0.7</f>
        <v>63.489999999999995</v>
      </c>
      <c r="J44" s="103">
        <f>ROUNDDOWN(G44*F44,2)*0.3</f>
        <v>27.21</v>
      </c>
      <c r="K44" s="103">
        <f>I44+J44</f>
        <v>90.699999999999989</v>
      </c>
      <c r="L44" s="107"/>
      <c r="M44" s="107"/>
      <c r="N44" s="107"/>
      <c r="O44" s="107"/>
      <c r="P44" s="108"/>
      <c r="R44" s="40">
        <f t="shared" si="5"/>
        <v>545.61641166616312</v>
      </c>
      <c r="S44" s="40" t="str">
        <f t="shared" si="6"/>
        <v/>
      </c>
      <c r="T44" s="40" t="str">
        <f t="shared" si="7"/>
        <v/>
      </c>
      <c r="U44" s="91">
        <f t="shared" si="4"/>
        <v>5</v>
      </c>
      <c r="AL44" s="5"/>
    </row>
    <row r="45" spans="1:38" ht="20.25" customHeight="1" x14ac:dyDescent="0.25">
      <c r="A45" s="100"/>
      <c r="B45" s="101"/>
      <c r="C45" s="109"/>
      <c r="D45" s="137"/>
      <c r="E45" s="104"/>
      <c r="F45" s="104"/>
      <c r="G45" s="105"/>
      <c r="H45" s="105"/>
      <c r="I45" s="106"/>
      <c r="J45" s="103"/>
      <c r="K45" s="107"/>
      <c r="L45" s="107"/>
      <c r="M45" s="107"/>
      <c r="N45" s="107"/>
      <c r="O45" s="107"/>
      <c r="P45" s="108"/>
      <c r="R45" s="40" t="str">
        <f t="shared" si="5"/>
        <v/>
      </c>
      <c r="S45" s="40" t="str">
        <f t="shared" si="6"/>
        <v/>
      </c>
      <c r="T45" s="40" t="str">
        <f t="shared" si="7"/>
        <v/>
      </c>
      <c r="U45" s="91">
        <f t="shared" si="4"/>
        <v>5</v>
      </c>
      <c r="AL45" s="5"/>
    </row>
    <row r="46" spans="1:38" ht="83.25" customHeight="1" x14ac:dyDescent="0.25">
      <c r="A46" s="83" t="s">
        <v>163</v>
      </c>
      <c r="B46" s="84" t="s">
        <v>173</v>
      </c>
      <c r="C46" s="85" t="s">
        <v>40</v>
      </c>
      <c r="D46" s="86" t="s">
        <v>41</v>
      </c>
      <c r="E46" s="87" t="s">
        <v>42</v>
      </c>
      <c r="F46" s="87"/>
      <c r="G46" s="88"/>
      <c r="H46" s="124">
        <v>5</v>
      </c>
      <c r="I46" s="89">
        <f>SUM(I47:I49)</f>
        <v>899.5</v>
      </c>
      <c r="J46" s="89">
        <f>SUM(J47:J49)</f>
        <v>10.5375</v>
      </c>
      <c r="K46" s="89">
        <f>I46+J46</f>
        <v>910.03750000000002</v>
      </c>
      <c r="L46" s="89">
        <f>H46*I46</f>
        <v>4497.5</v>
      </c>
      <c r="M46" s="89">
        <f>H46*J46</f>
        <v>52.6875</v>
      </c>
      <c r="N46" s="89">
        <f>L46+M46</f>
        <v>4550.1875</v>
      </c>
      <c r="O46" s="89">
        <f>N46*$O$3</f>
        <v>924.24905161682398</v>
      </c>
      <c r="P46" s="90">
        <f>N46+O46</f>
        <v>5474.4365516168236</v>
      </c>
      <c r="R46" s="40" t="str">
        <f t="shared" si="5"/>
        <v/>
      </c>
      <c r="S46" s="40" t="str">
        <f t="shared" si="6"/>
        <v/>
      </c>
      <c r="T46" s="40" t="str">
        <f t="shared" si="7"/>
        <v/>
      </c>
      <c r="U46" s="91">
        <f t="shared" si="4"/>
        <v>5</v>
      </c>
      <c r="AL46" s="5"/>
    </row>
    <row r="47" spans="1:38" ht="37.5" customHeight="1" x14ac:dyDescent="0.25">
      <c r="A47" s="100" t="s">
        <v>64</v>
      </c>
      <c r="B47" s="101">
        <v>88264</v>
      </c>
      <c r="C47" s="102"/>
      <c r="D47" s="103" t="s">
        <v>81</v>
      </c>
      <c r="E47" s="104" t="s">
        <v>27</v>
      </c>
      <c r="F47" s="104">
        <v>0.15</v>
      </c>
      <c r="G47" s="105">
        <v>35.200000000000003</v>
      </c>
      <c r="H47" s="105"/>
      <c r="I47" s="106"/>
      <c r="J47" s="103">
        <f>F47*G47</f>
        <v>5.28</v>
      </c>
      <c r="K47" s="103">
        <f>I47+J47</f>
        <v>5.28</v>
      </c>
      <c r="L47" s="107"/>
      <c r="M47" s="107"/>
      <c r="N47" s="107"/>
      <c r="O47" s="107"/>
      <c r="P47" s="108"/>
      <c r="R47" s="40">
        <f t="shared" si="5"/>
        <v>31.76245483569285</v>
      </c>
      <c r="S47" s="40" t="str">
        <f t="shared" si="6"/>
        <v/>
      </c>
      <c r="T47" s="40" t="str">
        <f t="shared" si="7"/>
        <v/>
      </c>
      <c r="U47" s="91">
        <f t="shared" si="4"/>
        <v>5</v>
      </c>
      <c r="AL47" s="5"/>
    </row>
    <row r="48" spans="1:38" ht="37.5" customHeight="1" x14ac:dyDescent="0.25">
      <c r="A48" s="100" t="s">
        <v>64</v>
      </c>
      <c r="B48" s="101">
        <v>88277</v>
      </c>
      <c r="C48" s="102"/>
      <c r="D48" s="103" t="s">
        <v>73</v>
      </c>
      <c r="E48" s="104" t="s">
        <v>27</v>
      </c>
      <c r="F48" s="104">
        <v>0.15</v>
      </c>
      <c r="G48" s="105">
        <v>35.049999999999997</v>
      </c>
      <c r="H48" s="105"/>
      <c r="I48" s="106"/>
      <c r="J48" s="103">
        <f>F48*G48</f>
        <v>5.2574999999999994</v>
      </c>
      <c r="K48" s="103">
        <f>I48+J48</f>
        <v>5.2574999999999994</v>
      </c>
      <c r="L48" s="107"/>
      <c r="M48" s="107"/>
      <c r="N48" s="107"/>
      <c r="O48" s="107"/>
      <c r="P48" s="108"/>
      <c r="R48" s="40">
        <f t="shared" si="5"/>
        <v>31.627103465654383</v>
      </c>
      <c r="S48" s="40" t="str">
        <f t="shared" si="6"/>
        <v/>
      </c>
      <c r="T48" s="40" t="str">
        <f t="shared" si="7"/>
        <v/>
      </c>
      <c r="U48" s="91">
        <f t="shared" si="4"/>
        <v>5</v>
      </c>
      <c r="AL48" s="5"/>
    </row>
    <row r="49" spans="1:38" ht="37.5" customHeight="1" x14ac:dyDescent="0.25">
      <c r="A49" s="138" t="s">
        <v>76</v>
      </c>
      <c r="B49" s="101"/>
      <c r="C49" s="109"/>
      <c r="D49" s="103" t="s">
        <v>97</v>
      </c>
      <c r="E49" s="104" t="s">
        <v>59</v>
      </c>
      <c r="F49" s="104">
        <v>1</v>
      </c>
      <c r="G49" s="105">
        <f>'MAPA DE COTAÇÕES'!K7</f>
        <v>899.5</v>
      </c>
      <c r="H49" s="105"/>
      <c r="I49" s="106">
        <f>F49*G49</f>
        <v>899.5</v>
      </c>
      <c r="J49" s="103"/>
      <c r="K49" s="103">
        <f>I49+J49</f>
        <v>899.5</v>
      </c>
      <c r="L49" s="107"/>
      <c r="M49" s="107"/>
      <c r="N49" s="107"/>
      <c r="O49" s="107"/>
      <c r="P49" s="108"/>
      <c r="R49" s="40" t="str">
        <f t="shared" si="5"/>
        <v/>
      </c>
      <c r="S49" s="40" t="str">
        <f t="shared" si="6"/>
        <v/>
      </c>
      <c r="T49" s="40">
        <f t="shared" si="7"/>
        <v>5411.0469933154764</v>
      </c>
      <c r="U49" s="91">
        <f t="shared" si="4"/>
        <v>5</v>
      </c>
      <c r="AL49" s="5"/>
    </row>
    <row r="50" spans="1:38" ht="37.5" customHeight="1" x14ac:dyDescent="0.25">
      <c r="A50" s="100"/>
      <c r="B50" s="101"/>
      <c r="C50" s="109"/>
      <c r="D50" s="103"/>
      <c r="E50" s="104"/>
      <c r="F50" s="104"/>
      <c r="G50" s="105"/>
      <c r="H50" s="105"/>
      <c r="I50" s="106"/>
      <c r="J50" s="103"/>
      <c r="K50" s="103"/>
      <c r="L50" s="107"/>
      <c r="M50" s="107"/>
      <c r="N50" s="107"/>
      <c r="O50" s="107"/>
      <c r="P50" s="108"/>
      <c r="R50" s="40" t="str">
        <f t="shared" si="5"/>
        <v/>
      </c>
      <c r="S50" s="40" t="str">
        <f t="shared" si="6"/>
        <v/>
      </c>
      <c r="T50" s="40" t="str">
        <f t="shared" si="7"/>
        <v/>
      </c>
      <c r="U50" s="91">
        <f t="shared" si="4"/>
        <v>5</v>
      </c>
      <c r="AL50" s="5"/>
    </row>
    <row r="51" spans="1:38" ht="80.25" customHeight="1" x14ac:dyDescent="0.25">
      <c r="A51" s="83" t="s">
        <v>172</v>
      </c>
      <c r="B51" s="84"/>
      <c r="C51" s="85" t="s">
        <v>23</v>
      </c>
      <c r="D51" s="86" t="s">
        <v>24</v>
      </c>
      <c r="E51" s="87" t="s">
        <v>10</v>
      </c>
      <c r="F51" s="87"/>
      <c r="G51" s="88"/>
      <c r="H51" s="124">
        <f>ENDEREÇOS!C21</f>
        <v>86</v>
      </c>
      <c r="I51" s="89">
        <f>ROUND(SUM(I52:I53),2)</f>
        <v>0</v>
      </c>
      <c r="J51" s="89">
        <f>ROUND(SUM(J52:J53),2)</f>
        <v>123.9</v>
      </c>
      <c r="K51" s="89">
        <f>I51+J51</f>
        <v>123.9</v>
      </c>
      <c r="L51" s="89">
        <f>H51*I51</f>
        <v>0</v>
      </c>
      <c r="M51" s="89">
        <f>H51*J51</f>
        <v>10655.4</v>
      </c>
      <c r="N51" s="89">
        <f>L51+M51</f>
        <v>10655.4</v>
      </c>
      <c r="O51" s="89">
        <f>N51*$O$3</f>
        <v>2164.3598960697564</v>
      </c>
      <c r="P51" s="90">
        <f>N51+O51</f>
        <v>12819.759896069756</v>
      </c>
      <c r="R51" s="40" t="str">
        <f t="shared" si="5"/>
        <v/>
      </c>
      <c r="S51" s="40" t="str">
        <f t="shared" si="6"/>
        <v/>
      </c>
      <c r="T51" s="40" t="str">
        <f t="shared" si="7"/>
        <v/>
      </c>
      <c r="U51" s="91">
        <f t="shared" si="4"/>
        <v>86</v>
      </c>
      <c r="AL51" s="5"/>
    </row>
    <row r="52" spans="1:38" ht="24.75" customHeight="1" x14ac:dyDescent="0.25">
      <c r="A52" s="100" t="s">
        <v>64</v>
      </c>
      <c r="B52" s="110">
        <v>88277</v>
      </c>
      <c r="C52" s="102"/>
      <c r="D52" s="103" t="s">
        <v>174</v>
      </c>
      <c r="E52" s="104" t="s">
        <v>84</v>
      </c>
      <c r="F52" s="104">
        <v>2</v>
      </c>
      <c r="G52" s="105">
        <v>35.049999999999997</v>
      </c>
      <c r="H52" s="105"/>
      <c r="I52" s="106"/>
      <c r="J52" s="103">
        <f>ROUNDDOWN(F52*G52,2)</f>
        <v>70.099999999999994</v>
      </c>
      <c r="K52" s="103">
        <f>I52+J52</f>
        <v>70.099999999999994</v>
      </c>
      <c r="L52" s="107"/>
      <c r="M52" s="107"/>
      <c r="N52" s="107"/>
      <c r="O52" s="107"/>
      <c r="P52" s="108"/>
      <c r="R52" s="40">
        <f t="shared" si="5"/>
        <v>7253.1490614567383</v>
      </c>
      <c r="S52" s="40" t="str">
        <f t="shared" si="6"/>
        <v/>
      </c>
      <c r="T52" s="40" t="str">
        <f t="shared" si="7"/>
        <v/>
      </c>
      <c r="U52" s="91">
        <f t="shared" si="4"/>
        <v>86</v>
      </c>
      <c r="AL52" s="5"/>
    </row>
    <row r="53" spans="1:38" ht="24.75" customHeight="1" x14ac:dyDescent="0.25">
      <c r="A53" s="100" t="s">
        <v>64</v>
      </c>
      <c r="B53" s="110">
        <v>88316</v>
      </c>
      <c r="C53" s="102"/>
      <c r="D53" s="103" t="s">
        <v>170</v>
      </c>
      <c r="E53" s="104" t="s">
        <v>84</v>
      </c>
      <c r="F53" s="104">
        <v>2</v>
      </c>
      <c r="G53" s="105">
        <v>26.9</v>
      </c>
      <c r="H53" s="105"/>
      <c r="I53" s="106"/>
      <c r="J53" s="103">
        <f>ROUNDDOWN(F53*G53,2)</f>
        <v>53.8</v>
      </c>
      <c r="K53" s="103">
        <f>I53+J53</f>
        <v>53.8</v>
      </c>
      <c r="L53" s="107"/>
      <c r="M53" s="107"/>
      <c r="N53" s="107"/>
      <c r="O53" s="107"/>
      <c r="P53" s="108"/>
      <c r="R53" s="40">
        <f t="shared" si="5"/>
        <v>5566.6108346130177</v>
      </c>
      <c r="S53" s="40" t="str">
        <f t="shared" si="6"/>
        <v/>
      </c>
      <c r="T53" s="40" t="str">
        <f t="shared" si="7"/>
        <v/>
      </c>
      <c r="U53" s="91">
        <f t="shared" si="4"/>
        <v>86</v>
      </c>
      <c r="AL53" s="5"/>
    </row>
    <row r="54" spans="1:38" ht="19.5" customHeight="1" x14ac:dyDescent="0.25">
      <c r="A54" s="100"/>
      <c r="B54" s="101"/>
      <c r="C54" s="109"/>
      <c r="D54" s="103"/>
      <c r="E54" s="104"/>
      <c r="F54" s="104"/>
      <c r="G54" s="105"/>
      <c r="H54" s="105"/>
      <c r="I54" s="106"/>
      <c r="J54" s="103"/>
      <c r="K54" s="107"/>
      <c r="L54" s="107"/>
      <c r="M54" s="107"/>
      <c r="N54" s="107"/>
      <c r="O54" s="107"/>
      <c r="P54" s="108"/>
      <c r="R54" s="40" t="str">
        <f t="shared" si="5"/>
        <v/>
      </c>
      <c r="S54" s="40" t="str">
        <f t="shared" si="6"/>
        <v/>
      </c>
      <c r="T54" s="40" t="str">
        <f t="shared" si="7"/>
        <v/>
      </c>
      <c r="U54" s="91">
        <f t="shared" si="4"/>
        <v>86</v>
      </c>
      <c r="AL54" s="5"/>
    </row>
    <row r="55" spans="1:38" ht="83.25" customHeight="1" x14ac:dyDescent="0.25">
      <c r="A55" s="83" t="s">
        <v>172</v>
      </c>
      <c r="B55" s="84" t="s">
        <v>175</v>
      </c>
      <c r="C55" s="85" t="s">
        <v>15</v>
      </c>
      <c r="D55" s="86" t="s">
        <v>176</v>
      </c>
      <c r="E55" s="87" t="s">
        <v>10</v>
      </c>
      <c r="F55" s="87"/>
      <c r="G55" s="88"/>
      <c r="H55" s="124">
        <f>ENDEREÇOS!D21</f>
        <v>15</v>
      </c>
      <c r="I55" s="89">
        <f>ROUND(SUM(I56:I68),2)</f>
        <v>892.69</v>
      </c>
      <c r="J55" s="89">
        <f>ROUND(SUM(J56:J66),2)</f>
        <v>782.14</v>
      </c>
      <c r="K55" s="89">
        <f t="shared" ref="K55:K68" si="8">I55+J55</f>
        <v>1674.83</v>
      </c>
      <c r="L55" s="89">
        <f>H55*I55</f>
        <v>13390.35</v>
      </c>
      <c r="M55" s="89">
        <f>H55*J55</f>
        <v>11732.1</v>
      </c>
      <c r="N55" s="89">
        <f>L55+M55</f>
        <v>25122.45</v>
      </c>
      <c r="O55" s="89">
        <f>N55*$O$3</f>
        <v>5102.9546775360532</v>
      </c>
      <c r="P55" s="90">
        <f>N55+O55</f>
        <v>30225.404677536055</v>
      </c>
      <c r="R55" s="40" t="str">
        <f t="shared" si="5"/>
        <v/>
      </c>
      <c r="S55" s="40" t="str">
        <f t="shared" si="6"/>
        <v/>
      </c>
      <c r="T55" s="40" t="str">
        <f t="shared" si="7"/>
        <v/>
      </c>
      <c r="U55" s="91">
        <f t="shared" si="4"/>
        <v>15</v>
      </c>
      <c r="AL55" s="5"/>
    </row>
    <row r="56" spans="1:38" ht="24.75" customHeight="1" x14ac:dyDescent="0.25">
      <c r="A56" s="100" t="s">
        <v>64</v>
      </c>
      <c r="B56" s="101"/>
      <c r="C56" s="139"/>
      <c r="D56" s="103" t="s">
        <v>70</v>
      </c>
      <c r="E56" s="104" t="s">
        <v>71</v>
      </c>
      <c r="F56" s="104">
        <v>0.25</v>
      </c>
      <c r="G56" s="105">
        <f>SUM(I63:I68)</f>
        <v>892.68999999999994</v>
      </c>
      <c r="H56" s="105"/>
      <c r="I56" s="106"/>
      <c r="J56" s="103">
        <f t="shared" ref="J56:J62" si="9">ROUNDDOWN(F56*G56,2)</f>
        <v>223.17</v>
      </c>
      <c r="K56" s="103">
        <f t="shared" si="8"/>
        <v>223.17</v>
      </c>
      <c r="L56" s="107"/>
      <c r="M56" s="107"/>
      <c r="N56" s="107"/>
      <c r="O56" s="107"/>
      <c r="P56" s="108"/>
      <c r="R56" s="40">
        <f t="shared" si="5"/>
        <v>4027.5153668645298</v>
      </c>
      <c r="S56" s="40" t="str">
        <f t="shared" si="6"/>
        <v/>
      </c>
      <c r="T56" s="40" t="str">
        <f t="shared" si="7"/>
        <v/>
      </c>
      <c r="U56" s="91">
        <f t="shared" si="4"/>
        <v>15</v>
      </c>
      <c r="AL56" s="5"/>
    </row>
    <row r="57" spans="1:38" ht="24.75" customHeight="1" x14ac:dyDescent="0.25">
      <c r="A57" s="100" t="s">
        <v>64</v>
      </c>
      <c r="B57" s="110">
        <v>88248</v>
      </c>
      <c r="C57" s="102"/>
      <c r="D57" s="103" t="s">
        <v>90</v>
      </c>
      <c r="E57" s="104" t="s">
        <v>84</v>
      </c>
      <c r="F57" s="104">
        <v>4</v>
      </c>
      <c r="G57" s="105">
        <v>27.81</v>
      </c>
      <c r="H57" s="105"/>
      <c r="I57" s="106"/>
      <c r="J57" s="103">
        <f t="shared" si="9"/>
        <v>111.24</v>
      </c>
      <c r="K57" s="103">
        <f t="shared" si="8"/>
        <v>111.24</v>
      </c>
      <c r="L57" s="107"/>
      <c r="M57" s="107"/>
      <c r="N57" s="107"/>
      <c r="O57" s="107"/>
      <c r="P57" s="108"/>
      <c r="R57" s="40">
        <f t="shared" si="5"/>
        <v>2007.5315204104957</v>
      </c>
      <c r="S57" s="40" t="str">
        <f t="shared" si="6"/>
        <v/>
      </c>
      <c r="T57" s="40" t="str">
        <f t="shared" si="7"/>
        <v/>
      </c>
      <c r="U57" s="91">
        <f t="shared" si="4"/>
        <v>15</v>
      </c>
      <c r="AL57" s="5"/>
    </row>
    <row r="58" spans="1:38" ht="24.75" customHeight="1" x14ac:dyDescent="0.25">
      <c r="A58" s="100" t="s">
        <v>64</v>
      </c>
      <c r="B58" s="110">
        <v>88267</v>
      </c>
      <c r="C58" s="102"/>
      <c r="D58" s="103" t="s">
        <v>83</v>
      </c>
      <c r="E58" s="104" t="s">
        <v>84</v>
      </c>
      <c r="F58" s="104">
        <v>4</v>
      </c>
      <c r="G58" s="105">
        <v>33.950000000000003</v>
      </c>
      <c r="H58" s="105"/>
      <c r="I58" s="106"/>
      <c r="J58" s="103">
        <f t="shared" si="9"/>
        <v>135.80000000000001</v>
      </c>
      <c r="K58" s="103">
        <f t="shared" si="8"/>
        <v>135.80000000000001</v>
      </c>
      <c r="L58" s="107"/>
      <c r="M58" s="107"/>
      <c r="N58" s="107"/>
      <c r="O58" s="107"/>
      <c r="P58" s="108"/>
      <c r="R58" s="40">
        <f t="shared" si="5"/>
        <v>2450.7621401631191</v>
      </c>
      <c r="S58" s="40" t="str">
        <f t="shared" si="6"/>
        <v/>
      </c>
      <c r="T58" s="40" t="str">
        <f t="shared" si="7"/>
        <v/>
      </c>
      <c r="U58" s="91">
        <f t="shared" si="4"/>
        <v>15</v>
      </c>
      <c r="AL58" s="5"/>
    </row>
    <row r="59" spans="1:38" ht="24.75" customHeight="1" x14ac:dyDescent="0.25">
      <c r="A59" s="100" t="s">
        <v>64</v>
      </c>
      <c r="B59" s="110">
        <v>88247</v>
      </c>
      <c r="C59" s="102"/>
      <c r="D59" s="103" t="s">
        <v>177</v>
      </c>
      <c r="E59" s="104" t="s">
        <v>84</v>
      </c>
      <c r="F59" s="104">
        <v>1</v>
      </c>
      <c r="G59" s="105">
        <v>28.93</v>
      </c>
      <c r="H59" s="105"/>
      <c r="I59" s="106"/>
      <c r="J59" s="103">
        <f t="shared" si="9"/>
        <v>28.93</v>
      </c>
      <c r="K59" s="103">
        <f t="shared" si="8"/>
        <v>28.93</v>
      </c>
      <c r="L59" s="107"/>
      <c r="M59" s="107"/>
      <c r="N59" s="107"/>
      <c r="O59" s="107"/>
      <c r="P59" s="108"/>
      <c r="R59" s="40">
        <f t="shared" si="5"/>
        <v>522.0953513617012</v>
      </c>
      <c r="S59" s="40" t="str">
        <f t="shared" si="6"/>
        <v/>
      </c>
      <c r="T59" s="40" t="str">
        <f t="shared" si="7"/>
        <v/>
      </c>
      <c r="U59" s="91">
        <f t="shared" si="4"/>
        <v>15</v>
      </c>
      <c r="AL59" s="5"/>
    </row>
    <row r="60" spans="1:38" ht="24.75" customHeight="1" x14ac:dyDescent="0.25">
      <c r="A60" s="100" t="s">
        <v>64</v>
      </c>
      <c r="B60" s="110">
        <v>88264</v>
      </c>
      <c r="C60" s="102"/>
      <c r="D60" s="103" t="s">
        <v>178</v>
      </c>
      <c r="E60" s="104" t="s">
        <v>84</v>
      </c>
      <c r="F60" s="104">
        <v>1</v>
      </c>
      <c r="G60" s="105">
        <v>35.200000000000003</v>
      </c>
      <c r="H60" s="105"/>
      <c r="I60" s="106"/>
      <c r="J60" s="103">
        <f t="shared" si="9"/>
        <v>35.200000000000003</v>
      </c>
      <c r="K60" s="103">
        <f t="shared" si="8"/>
        <v>35.200000000000003</v>
      </c>
      <c r="L60" s="107"/>
      <c r="M60" s="107"/>
      <c r="N60" s="107"/>
      <c r="O60" s="107"/>
      <c r="P60" s="108"/>
      <c r="R60" s="40">
        <f t="shared" si="5"/>
        <v>635.24909671385694</v>
      </c>
      <c r="S60" s="40" t="str">
        <f t="shared" si="6"/>
        <v/>
      </c>
      <c r="T60" s="40" t="str">
        <f t="shared" si="7"/>
        <v/>
      </c>
      <c r="U60" s="91">
        <f t="shared" si="4"/>
        <v>15</v>
      </c>
      <c r="AL60" s="5"/>
    </row>
    <row r="61" spans="1:38" ht="24.75" customHeight="1" x14ac:dyDescent="0.25">
      <c r="A61" s="100" t="s">
        <v>64</v>
      </c>
      <c r="B61" s="110">
        <v>88277</v>
      </c>
      <c r="C61" s="102"/>
      <c r="D61" s="103" t="s">
        <v>174</v>
      </c>
      <c r="E61" s="104" t="s">
        <v>84</v>
      </c>
      <c r="F61" s="104">
        <v>4</v>
      </c>
      <c r="G61" s="105">
        <v>35.049999999999997</v>
      </c>
      <c r="H61" s="105"/>
      <c r="I61" s="106"/>
      <c r="J61" s="103">
        <f t="shared" si="9"/>
        <v>140.19999999999999</v>
      </c>
      <c r="K61" s="103">
        <f t="shared" si="8"/>
        <v>140.19999999999999</v>
      </c>
      <c r="L61" s="107"/>
      <c r="M61" s="107"/>
      <c r="N61" s="107"/>
      <c r="O61" s="107"/>
      <c r="P61" s="108"/>
      <c r="R61" s="40">
        <f t="shared" si="5"/>
        <v>2530.1682772523509</v>
      </c>
      <c r="S61" s="40" t="str">
        <f t="shared" si="6"/>
        <v/>
      </c>
      <c r="T61" s="40" t="str">
        <f t="shared" si="7"/>
        <v/>
      </c>
      <c r="U61" s="91">
        <f t="shared" si="4"/>
        <v>15</v>
      </c>
      <c r="AL61" s="5"/>
    </row>
    <row r="62" spans="1:38" ht="24.75" customHeight="1" x14ac:dyDescent="0.25">
      <c r="A62" s="100" t="s">
        <v>64</v>
      </c>
      <c r="B62" s="110">
        <v>88316</v>
      </c>
      <c r="C62" s="102"/>
      <c r="D62" s="103" t="s">
        <v>170</v>
      </c>
      <c r="E62" s="104" t="s">
        <v>84</v>
      </c>
      <c r="F62" s="104">
        <v>4</v>
      </c>
      <c r="G62" s="105">
        <v>26.9</v>
      </c>
      <c r="H62" s="105"/>
      <c r="I62" s="106"/>
      <c r="J62" s="103">
        <f t="shared" si="9"/>
        <v>107.6</v>
      </c>
      <c r="K62" s="103">
        <f t="shared" si="8"/>
        <v>107.6</v>
      </c>
      <c r="L62" s="107"/>
      <c r="M62" s="107"/>
      <c r="N62" s="107"/>
      <c r="O62" s="107"/>
      <c r="P62" s="108"/>
      <c r="R62" s="40">
        <f t="shared" si="5"/>
        <v>1941.8409888184947</v>
      </c>
      <c r="S62" s="40" t="str">
        <f t="shared" si="6"/>
        <v/>
      </c>
      <c r="T62" s="40" t="str">
        <f t="shared" si="7"/>
        <v/>
      </c>
      <c r="U62" s="91">
        <f t="shared" si="4"/>
        <v>15</v>
      </c>
      <c r="AL62" s="5"/>
    </row>
    <row r="63" spans="1:38" ht="24.75" customHeight="1" x14ac:dyDescent="0.25">
      <c r="A63" s="100" t="s">
        <v>64</v>
      </c>
      <c r="B63" s="110">
        <v>39664</v>
      </c>
      <c r="C63" s="102"/>
      <c r="D63" s="103" t="s">
        <v>69</v>
      </c>
      <c r="E63" s="104" t="s">
        <v>67</v>
      </c>
      <c r="F63" s="104">
        <v>10</v>
      </c>
      <c r="G63" s="105">
        <v>28.96</v>
      </c>
      <c r="H63" s="105"/>
      <c r="I63" s="106">
        <f t="shared" ref="I63:I68" si="10">ROUNDDOWN(F63*G63,2)</f>
        <v>289.60000000000002</v>
      </c>
      <c r="J63" s="103"/>
      <c r="K63" s="103">
        <f t="shared" si="8"/>
        <v>289.60000000000002</v>
      </c>
      <c r="L63" s="107"/>
      <c r="M63" s="107"/>
      <c r="N63" s="107"/>
      <c r="O63" s="107"/>
      <c r="P63" s="108"/>
      <c r="R63" s="40">
        <f t="shared" si="5"/>
        <v>5226.36756841855</v>
      </c>
      <c r="S63" s="40" t="str">
        <f t="shared" si="6"/>
        <v/>
      </c>
      <c r="T63" s="40" t="str">
        <f t="shared" si="7"/>
        <v/>
      </c>
      <c r="U63" s="91">
        <f t="shared" si="4"/>
        <v>15</v>
      </c>
      <c r="AL63" s="5"/>
    </row>
    <row r="64" spans="1:38" ht="24.75" customHeight="1" x14ac:dyDescent="0.25">
      <c r="A64" s="100" t="s">
        <v>64</v>
      </c>
      <c r="B64" s="110">
        <v>39665</v>
      </c>
      <c r="C64" s="102"/>
      <c r="D64" s="103" t="s">
        <v>66</v>
      </c>
      <c r="E64" s="104" t="s">
        <v>67</v>
      </c>
      <c r="F64" s="104">
        <v>10</v>
      </c>
      <c r="G64" s="105">
        <v>47.87</v>
      </c>
      <c r="H64" s="105"/>
      <c r="I64" s="106">
        <f t="shared" si="10"/>
        <v>478.7</v>
      </c>
      <c r="J64" s="103"/>
      <c r="K64" s="103">
        <f t="shared" si="8"/>
        <v>478.7</v>
      </c>
      <c r="L64" s="107"/>
      <c r="M64" s="107"/>
      <c r="N64" s="107"/>
      <c r="O64" s="107"/>
      <c r="P64" s="108"/>
      <c r="R64" s="40">
        <f t="shared" si="5"/>
        <v>8639.0267783216859</v>
      </c>
      <c r="S64" s="40" t="str">
        <f t="shared" si="6"/>
        <v/>
      </c>
      <c r="T64" s="40" t="str">
        <f t="shared" si="7"/>
        <v/>
      </c>
      <c r="U64" s="91">
        <f t="shared" si="4"/>
        <v>15</v>
      </c>
      <c r="AL64" s="5"/>
    </row>
    <row r="65" spans="1:38" ht="24.75" customHeight="1" x14ac:dyDescent="0.25">
      <c r="A65" s="100" t="s">
        <v>76</v>
      </c>
      <c r="B65" s="101"/>
      <c r="C65" s="139"/>
      <c r="D65" s="103" t="s">
        <v>77</v>
      </c>
      <c r="E65" s="104" t="s">
        <v>45</v>
      </c>
      <c r="F65" s="104">
        <v>10.02</v>
      </c>
      <c r="G65" s="105">
        <f>'MAPA DE COTAÇÕES'!K11</f>
        <v>8.3066666666666666</v>
      </c>
      <c r="H65" s="105"/>
      <c r="I65" s="106">
        <f t="shared" si="10"/>
        <v>83.23</v>
      </c>
      <c r="J65" s="103"/>
      <c r="K65" s="103">
        <f t="shared" si="8"/>
        <v>83.23</v>
      </c>
      <c r="L65" s="107"/>
      <c r="M65" s="107"/>
      <c r="N65" s="107"/>
      <c r="O65" s="107"/>
      <c r="P65" s="108"/>
      <c r="R65" s="40" t="str">
        <f t="shared" si="5"/>
        <v/>
      </c>
      <c r="S65" s="40" t="str">
        <f t="shared" si="6"/>
        <v/>
      </c>
      <c r="T65" s="40">
        <f t="shared" si="7"/>
        <v>1502.0392704401795</v>
      </c>
      <c r="U65" s="91">
        <f t="shared" si="4"/>
        <v>15</v>
      </c>
      <c r="AL65" s="5"/>
    </row>
    <row r="66" spans="1:38" ht="24.75" customHeight="1" x14ac:dyDescent="0.25">
      <c r="A66" s="100" t="s">
        <v>76</v>
      </c>
      <c r="B66" s="101"/>
      <c r="C66" s="139"/>
      <c r="D66" s="103" t="s">
        <v>101</v>
      </c>
      <c r="E66" s="104" t="s">
        <v>102</v>
      </c>
      <c r="F66" s="104">
        <f>0.03*5</f>
        <v>0.15</v>
      </c>
      <c r="G66" s="105">
        <f>'MAPA DE COTAÇÕES'!K8</f>
        <v>57.561356932153387</v>
      </c>
      <c r="H66" s="105"/>
      <c r="I66" s="106">
        <f t="shared" si="10"/>
        <v>8.6300000000000008</v>
      </c>
      <c r="J66" s="103"/>
      <c r="K66" s="103">
        <f t="shared" si="8"/>
        <v>8.6300000000000008</v>
      </c>
      <c r="L66" s="107"/>
      <c r="M66" s="107"/>
      <c r="N66" s="107"/>
      <c r="O66" s="107"/>
      <c r="P66" s="108"/>
      <c r="R66" s="40" t="str">
        <f t="shared" si="5"/>
        <v/>
      </c>
      <c r="S66" s="40" t="str">
        <f t="shared" si="6"/>
        <v/>
      </c>
      <c r="T66" s="40">
        <f t="shared" si="7"/>
        <v>155.74430979092574</v>
      </c>
      <c r="U66" s="91">
        <f t="shared" si="4"/>
        <v>15</v>
      </c>
      <c r="AL66" s="5"/>
    </row>
    <row r="67" spans="1:38" ht="35.25" customHeight="1" x14ac:dyDescent="0.25">
      <c r="A67" s="100" t="s">
        <v>76</v>
      </c>
      <c r="B67" s="101"/>
      <c r="C67" s="139"/>
      <c r="D67" s="103" t="s">
        <v>99</v>
      </c>
      <c r="E67" s="104" t="s">
        <v>67</v>
      </c>
      <c r="F67" s="104">
        <v>10</v>
      </c>
      <c r="G67" s="105">
        <f>'MAPA DE COTAÇÕES'!K9</f>
        <v>1.8133333333333335</v>
      </c>
      <c r="H67" s="105"/>
      <c r="I67" s="106">
        <f t="shared" si="10"/>
        <v>18.13</v>
      </c>
      <c r="J67" s="103"/>
      <c r="K67" s="103">
        <f t="shared" si="8"/>
        <v>18.13</v>
      </c>
      <c r="L67" s="107"/>
      <c r="M67" s="107"/>
      <c r="N67" s="107"/>
      <c r="O67" s="107"/>
      <c r="P67" s="108"/>
      <c r="R67" s="40" t="str">
        <f t="shared" si="5"/>
        <v/>
      </c>
      <c r="S67" s="40" t="str">
        <f t="shared" si="6"/>
        <v/>
      </c>
      <c r="T67" s="40">
        <f t="shared" si="7"/>
        <v>327.18937850631323</v>
      </c>
      <c r="U67" s="91">
        <f t="shared" si="4"/>
        <v>15</v>
      </c>
      <c r="AL67" s="5"/>
    </row>
    <row r="68" spans="1:38" ht="35.25" customHeight="1" x14ac:dyDescent="0.25">
      <c r="A68" s="100" t="s">
        <v>76</v>
      </c>
      <c r="B68" s="101"/>
      <c r="C68" s="139"/>
      <c r="D68" s="103" t="s">
        <v>100</v>
      </c>
      <c r="E68" s="104" t="s">
        <v>67</v>
      </c>
      <c r="F68" s="104">
        <v>10</v>
      </c>
      <c r="G68" s="105">
        <f>'MAPA DE COTAÇÕES'!K10</f>
        <v>1.44</v>
      </c>
      <c r="H68" s="105"/>
      <c r="I68" s="106">
        <f t="shared" si="10"/>
        <v>14.4</v>
      </c>
      <c r="J68" s="103"/>
      <c r="K68" s="103">
        <f t="shared" si="8"/>
        <v>14.4</v>
      </c>
      <c r="L68" s="107"/>
      <c r="M68" s="107"/>
      <c r="N68" s="107"/>
      <c r="O68" s="107"/>
      <c r="P68" s="108"/>
      <c r="R68" s="40" t="str">
        <f t="shared" si="5"/>
        <v/>
      </c>
      <c r="S68" s="40" t="str">
        <f t="shared" si="6"/>
        <v/>
      </c>
      <c r="T68" s="40">
        <f t="shared" si="7"/>
        <v>259.87463047385057</v>
      </c>
      <c r="U68" s="91">
        <f t="shared" si="4"/>
        <v>15</v>
      </c>
      <c r="AL68" s="5"/>
    </row>
    <row r="69" spans="1:38" ht="15.75" customHeight="1" x14ac:dyDescent="0.25">
      <c r="A69" s="140"/>
      <c r="B69" s="141"/>
      <c r="C69" s="142"/>
      <c r="D69" s="143"/>
      <c r="E69" s="144"/>
      <c r="F69" s="144"/>
      <c r="G69" s="145"/>
      <c r="H69" s="145"/>
      <c r="I69" s="143"/>
      <c r="J69" s="143"/>
      <c r="K69" s="143"/>
      <c r="L69" s="143"/>
      <c r="M69" s="143"/>
      <c r="N69" s="143"/>
      <c r="O69" s="146"/>
      <c r="P69" s="147"/>
      <c r="R69" s="40" t="str">
        <f t="shared" si="5"/>
        <v/>
      </c>
      <c r="S69" s="40" t="str">
        <f t="shared" si="6"/>
        <v/>
      </c>
      <c r="T69" s="40" t="str">
        <f t="shared" si="7"/>
        <v/>
      </c>
      <c r="U69" s="91">
        <f t="shared" si="4"/>
        <v>15</v>
      </c>
      <c r="AL69" s="5"/>
    </row>
    <row r="70" spans="1:38" ht="83.25" customHeight="1" x14ac:dyDescent="0.25">
      <c r="A70" s="83" t="s">
        <v>172</v>
      </c>
      <c r="B70" s="84" t="s">
        <v>175</v>
      </c>
      <c r="C70" s="85" t="s">
        <v>11</v>
      </c>
      <c r="D70" s="86" t="s">
        <v>179</v>
      </c>
      <c r="E70" s="87" t="s">
        <v>10</v>
      </c>
      <c r="F70" s="87"/>
      <c r="G70" s="88"/>
      <c r="H70" s="124">
        <f>ENDEREÇOS!E21</f>
        <v>23</v>
      </c>
      <c r="I70" s="89">
        <f>ROUND(SUM(I71:I83),2)</f>
        <v>1793.85</v>
      </c>
      <c r="J70" s="89">
        <f>ROUND(SUM(J71:J81),2)</f>
        <v>1123.19</v>
      </c>
      <c r="K70" s="89">
        <f t="shared" ref="K70:K83" si="11">I70+J70</f>
        <v>2917.04</v>
      </c>
      <c r="L70" s="89">
        <f>H70*I70</f>
        <v>41258.549999999996</v>
      </c>
      <c r="M70" s="89">
        <f>H70*J70</f>
        <v>25833.370000000003</v>
      </c>
      <c r="N70" s="89">
        <f>L70+M70</f>
        <v>67091.92</v>
      </c>
      <c r="O70" s="89">
        <f>N70*$O$3</f>
        <v>13627.931471209004</v>
      </c>
      <c r="P70" s="90">
        <f>N70+O70</f>
        <v>80719.851471208996</v>
      </c>
      <c r="R70" s="40" t="str">
        <f t="shared" si="5"/>
        <v/>
      </c>
      <c r="S70" s="40" t="str">
        <f t="shared" si="6"/>
        <v/>
      </c>
      <c r="T70" s="40" t="str">
        <f t="shared" si="7"/>
        <v/>
      </c>
      <c r="U70" s="91">
        <f t="shared" si="4"/>
        <v>23</v>
      </c>
      <c r="AL70" s="5"/>
    </row>
    <row r="71" spans="1:38" ht="24.75" customHeight="1" x14ac:dyDescent="0.25">
      <c r="A71" s="100" t="s">
        <v>64</v>
      </c>
      <c r="B71" s="101"/>
      <c r="C71" s="139"/>
      <c r="D71" s="103" t="s">
        <v>70</v>
      </c>
      <c r="E71" s="104" t="s">
        <v>71</v>
      </c>
      <c r="F71" s="104">
        <v>0.28000000000000003</v>
      </c>
      <c r="G71" s="105">
        <f>SUM(I78:I83)</f>
        <v>1793.85</v>
      </c>
      <c r="H71" s="105"/>
      <c r="I71" s="106"/>
      <c r="J71" s="103">
        <f t="shared" ref="J71:J77" si="12">ROUNDDOWN(F71*G71,2)</f>
        <v>502.27</v>
      </c>
      <c r="K71" s="103">
        <f t="shared" si="11"/>
        <v>502.27</v>
      </c>
      <c r="L71" s="107"/>
      <c r="M71" s="107"/>
      <c r="N71" s="107"/>
      <c r="O71" s="107"/>
      <c r="P71" s="108"/>
      <c r="R71" s="40">
        <f t="shared" si="5"/>
        <v>13898.73289308482</v>
      </c>
      <c r="S71" s="40" t="str">
        <f t="shared" si="6"/>
        <v/>
      </c>
      <c r="T71" s="40" t="str">
        <f t="shared" si="7"/>
        <v/>
      </c>
      <c r="U71" s="91">
        <f t="shared" si="4"/>
        <v>23</v>
      </c>
      <c r="AL71" s="5"/>
    </row>
    <row r="72" spans="1:38" ht="24.75" customHeight="1" x14ac:dyDescent="0.25">
      <c r="A72" s="100" t="s">
        <v>64</v>
      </c>
      <c r="B72" s="110">
        <v>88248</v>
      </c>
      <c r="C72" s="102"/>
      <c r="D72" s="103" t="s">
        <v>90</v>
      </c>
      <c r="E72" s="104" t="s">
        <v>84</v>
      </c>
      <c r="F72" s="104">
        <v>4</v>
      </c>
      <c r="G72" s="105">
        <v>27.81</v>
      </c>
      <c r="H72" s="105"/>
      <c r="I72" s="106"/>
      <c r="J72" s="103">
        <f t="shared" si="12"/>
        <v>111.24</v>
      </c>
      <c r="K72" s="103">
        <f t="shared" si="11"/>
        <v>111.24</v>
      </c>
      <c r="L72" s="107"/>
      <c r="M72" s="107"/>
      <c r="N72" s="107"/>
      <c r="O72" s="107"/>
      <c r="P72" s="108"/>
      <c r="R72" s="40">
        <f t="shared" si="5"/>
        <v>3078.2149979627602</v>
      </c>
      <c r="S72" s="40" t="str">
        <f t="shared" si="6"/>
        <v/>
      </c>
      <c r="T72" s="40" t="str">
        <f t="shared" si="7"/>
        <v/>
      </c>
      <c r="U72" s="91">
        <f t="shared" si="4"/>
        <v>23</v>
      </c>
      <c r="AL72" s="5"/>
    </row>
    <row r="73" spans="1:38" ht="24.75" customHeight="1" x14ac:dyDescent="0.25">
      <c r="A73" s="100" t="s">
        <v>64</v>
      </c>
      <c r="B73" s="110">
        <v>88267</v>
      </c>
      <c r="C73" s="102"/>
      <c r="D73" s="103" t="s">
        <v>83</v>
      </c>
      <c r="E73" s="104" t="s">
        <v>84</v>
      </c>
      <c r="F73" s="104">
        <v>4</v>
      </c>
      <c r="G73" s="105">
        <v>33.950000000000003</v>
      </c>
      <c r="H73" s="105"/>
      <c r="I73" s="106"/>
      <c r="J73" s="103">
        <f t="shared" si="12"/>
        <v>135.80000000000001</v>
      </c>
      <c r="K73" s="103">
        <f t="shared" si="11"/>
        <v>135.80000000000001</v>
      </c>
      <c r="L73" s="107"/>
      <c r="M73" s="107"/>
      <c r="N73" s="107"/>
      <c r="O73" s="107"/>
      <c r="P73" s="108"/>
      <c r="R73" s="40">
        <f t="shared" si="5"/>
        <v>3757.8352815834487</v>
      </c>
      <c r="S73" s="40" t="str">
        <f t="shared" si="6"/>
        <v/>
      </c>
      <c r="T73" s="40" t="str">
        <f t="shared" si="7"/>
        <v/>
      </c>
      <c r="U73" s="91">
        <f t="shared" si="4"/>
        <v>23</v>
      </c>
      <c r="AL73" s="5"/>
    </row>
    <row r="74" spans="1:38" ht="24.75" customHeight="1" x14ac:dyDescent="0.25">
      <c r="A74" s="100" t="s">
        <v>64</v>
      </c>
      <c r="B74" s="110">
        <v>88247</v>
      </c>
      <c r="C74" s="102"/>
      <c r="D74" s="103" t="s">
        <v>177</v>
      </c>
      <c r="E74" s="104" t="s">
        <v>84</v>
      </c>
      <c r="F74" s="104">
        <v>1</v>
      </c>
      <c r="G74" s="105">
        <v>28.93</v>
      </c>
      <c r="H74" s="105"/>
      <c r="I74" s="106"/>
      <c r="J74" s="103">
        <f t="shared" si="12"/>
        <v>28.93</v>
      </c>
      <c r="K74" s="103">
        <f t="shared" si="11"/>
        <v>28.93</v>
      </c>
      <c r="L74" s="107"/>
      <c r="M74" s="107"/>
      <c r="N74" s="107"/>
      <c r="O74" s="107"/>
      <c r="P74" s="108"/>
      <c r="R74" s="40">
        <f t="shared" si="5"/>
        <v>800.54620542127509</v>
      </c>
      <c r="S74" s="40" t="str">
        <f t="shared" si="6"/>
        <v/>
      </c>
      <c r="T74" s="40" t="str">
        <f t="shared" si="7"/>
        <v/>
      </c>
      <c r="U74" s="91">
        <f t="shared" ref="U74:U105" si="13">IF(H74&lt;&gt;0,H74,U73)</f>
        <v>23</v>
      </c>
      <c r="AL74" s="5"/>
    </row>
    <row r="75" spans="1:38" ht="24.75" customHeight="1" x14ac:dyDescent="0.25">
      <c r="A75" s="100" t="s">
        <v>64</v>
      </c>
      <c r="B75" s="110">
        <v>88264</v>
      </c>
      <c r="C75" s="102"/>
      <c r="D75" s="103" t="s">
        <v>178</v>
      </c>
      <c r="E75" s="104" t="s">
        <v>84</v>
      </c>
      <c r="F75" s="104">
        <v>1</v>
      </c>
      <c r="G75" s="105">
        <v>35.200000000000003</v>
      </c>
      <c r="H75" s="105"/>
      <c r="I75" s="106"/>
      <c r="J75" s="103">
        <f t="shared" si="12"/>
        <v>35.200000000000003</v>
      </c>
      <c r="K75" s="103">
        <f t="shared" si="11"/>
        <v>35.200000000000003</v>
      </c>
      <c r="L75" s="107"/>
      <c r="M75" s="107"/>
      <c r="N75" s="107"/>
      <c r="O75" s="107"/>
      <c r="P75" s="108"/>
      <c r="R75" s="40">
        <f t="shared" ref="R75:R106" si="14">IF(A75="SINAPI",U75*K75*(1+$O$3),"")</f>
        <v>974.04861496124738</v>
      </c>
      <c r="S75" s="40" t="str">
        <f t="shared" ref="S75:S106" si="15">IF(A75="TCPO",U75*K75*(1+$O$3),"")</f>
        <v/>
      </c>
      <c r="T75" s="40" t="str">
        <f t="shared" ref="T75:T106" si="16">IF(A75="Cotação",U75*K75*(1+$O$3),"")</f>
        <v/>
      </c>
      <c r="U75" s="91">
        <f t="shared" si="13"/>
        <v>23</v>
      </c>
      <c r="AL75" s="5"/>
    </row>
    <row r="76" spans="1:38" ht="24.75" customHeight="1" x14ac:dyDescent="0.25">
      <c r="A76" s="100" t="s">
        <v>64</v>
      </c>
      <c r="B76" s="110">
        <v>88277</v>
      </c>
      <c r="C76" s="102"/>
      <c r="D76" s="103" t="s">
        <v>174</v>
      </c>
      <c r="E76" s="104" t="s">
        <v>84</v>
      </c>
      <c r="F76" s="104">
        <v>5</v>
      </c>
      <c r="G76" s="105">
        <v>35.049999999999997</v>
      </c>
      <c r="H76" s="105"/>
      <c r="I76" s="106"/>
      <c r="J76" s="103">
        <f t="shared" si="12"/>
        <v>175.25</v>
      </c>
      <c r="K76" s="103">
        <f t="shared" si="11"/>
        <v>175.25</v>
      </c>
      <c r="L76" s="107"/>
      <c r="M76" s="107"/>
      <c r="N76" s="107"/>
      <c r="O76" s="107"/>
      <c r="P76" s="108"/>
      <c r="R76" s="40">
        <f t="shared" si="14"/>
        <v>4849.4891980670054</v>
      </c>
      <c r="S76" s="40" t="str">
        <f t="shared" si="15"/>
        <v/>
      </c>
      <c r="T76" s="40" t="str">
        <f t="shared" si="16"/>
        <v/>
      </c>
      <c r="U76" s="91">
        <f t="shared" si="13"/>
        <v>23</v>
      </c>
      <c r="AL76" s="5"/>
    </row>
    <row r="77" spans="1:38" ht="24.75" customHeight="1" x14ac:dyDescent="0.25">
      <c r="A77" s="100" t="s">
        <v>64</v>
      </c>
      <c r="B77" s="110">
        <v>88316</v>
      </c>
      <c r="C77" s="102"/>
      <c r="D77" s="103" t="s">
        <v>170</v>
      </c>
      <c r="E77" s="104" t="s">
        <v>84</v>
      </c>
      <c r="F77" s="104">
        <v>5</v>
      </c>
      <c r="G77" s="105">
        <v>26.9</v>
      </c>
      <c r="H77" s="105"/>
      <c r="I77" s="106"/>
      <c r="J77" s="103">
        <f t="shared" si="12"/>
        <v>134.5</v>
      </c>
      <c r="K77" s="103">
        <f t="shared" si="11"/>
        <v>134.5</v>
      </c>
      <c r="L77" s="107"/>
      <c r="M77" s="107"/>
      <c r="N77" s="107"/>
      <c r="O77" s="107"/>
      <c r="P77" s="108"/>
      <c r="R77" s="40">
        <f t="shared" si="14"/>
        <v>3721.8618952354482</v>
      </c>
      <c r="S77" s="40" t="str">
        <f t="shared" si="15"/>
        <v/>
      </c>
      <c r="T77" s="40" t="str">
        <f t="shared" si="16"/>
        <v/>
      </c>
      <c r="U77" s="91">
        <f t="shared" si="13"/>
        <v>23</v>
      </c>
      <c r="AL77" s="5"/>
    </row>
    <row r="78" spans="1:38" ht="24.75" customHeight="1" x14ac:dyDescent="0.25">
      <c r="A78" s="100" t="s">
        <v>64</v>
      </c>
      <c r="B78" s="110">
        <v>39664</v>
      </c>
      <c r="C78" s="102"/>
      <c r="D78" s="103" t="s">
        <v>69</v>
      </c>
      <c r="E78" s="104" t="s">
        <v>67</v>
      </c>
      <c r="F78" s="104">
        <v>20</v>
      </c>
      <c r="G78" s="105">
        <v>28.96</v>
      </c>
      <c r="H78" s="105"/>
      <c r="I78" s="106">
        <f t="shared" ref="I78:I83" si="17">ROUNDDOWN(F78*G78,2)</f>
        <v>579.20000000000005</v>
      </c>
      <c r="J78" s="103"/>
      <c r="K78" s="103">
        <f t="shared" si="11"/>
        <v>579.20000000000005</v>
      </c>
      <c r="L78" s="107"/>
      <c r="M78" s="107"/>
      <c r="N78" s="107"/>
      <c r="O78" s="107"/>
      <c r="P78" s="108"/>
      <c r="R78" s="40">
        <f t="shared" si="14"/>
        <v>16027.527209816888</v>
      </c>
      <c r="S78" s="40" t="str">
        <f t="shared" si="15"/>
        <v/>
      </c>
      <c r="T78" s="40" t="str">
        <f t="shared" si="16"/>
        <v/>
      </c>
      <c r="U78" s="91">
        <f t="shared" si="13"/>
        <v>23</v>
      </c>
      <c r="AL78" s="5"/>
    </row>
    <row r="79" spans="1:38" ht="24.75" customHeight="1" x14ac:dyDescent="0.25">
      <c r="A79" s="100" t="s">
        <v>64</v>
      </c>
      <c r="B79" s="110">
        <v>39665</v>
      </c>
      <c r="C79" s="102"/>
      <c r="D79" s="103" t="s">
        <v>66</v>
      </c>
      <c r="E79" s="104" t="s">
        <v>67</v>
      </c>
      <c r="F79" s="104">
        <v>20</v>
      </c>
      <c r="G79" s="105">
        <v>47.87</v>
      </c>
      <c r="H79" s="105"/>
      <c r="I79" s="106">
        <f t="shared" si="17"/>
        <v>957.4</v>
      </c>
      <c r="J79" s="103"/>
      <c r="K79" s="103">
        <f t="shared" si="11"/>
        <v>957.4</v>
      </c>
      <c r="L79" s="107"/>
      <c r="M79" s="107"/>
      <c r="N79" s="107"/>
      <c r="O79" s="107"/>
      <c r="P79" s="108"/>
      <c r="R79" s="40">
        <f t="shared" si="14"/>
        <v>26493.015453519838</v>
      </c>
      <c r="S79" s="40" t="str">
        <f t="shared" si="15"/>
        <v/>
      </c>
      <c r="T79" s="40" t="str">
        <f t="shared" si="16"/>
        <v/>
      </c>
      <c r="U79" s="91">
        <f t="shared" si="13"/>
        <v>23</v>
      </c>
      <c r="AL79" s="5"/>
    </row>
    <row r="80" spans="1:38" ht="24.75" customHeight="1" x14ac:dyDescent="0.25">
      <c r="A80" s="100" t="s">
        <v>76</v>
      </c>
      <c r="B80" s="101"/>
      <c r="C80" s="139"/>
      <c r="D80" s="103" t="s">
        <v>77</v>
      </c>
      <c r="E80" s="104" t="s">
        <v>45</v>
      </c>
      <c r="F80" s="104">
        <v>20.02</v>
      </c>
      <c r="G80" s="105">
        <f>'MAPA DE COTAÇÕES'!K11</f>
        <v>8.3066666666666666</v>
      </c>
      <c r="H80" s="105"/>
      <c r="I80" s="106">
        <f t="shared" si="17"/>
        <v>166.29</v>
      </c>
      <c r="J80" s="103"/>
      <c r="K80" s="103">
        <f t="shared" si="11"/>
        <v>166.29</v>
      </c>
      <c r="L80" s="107"/>
      <c r="M80" s="107"/>
      <c r="N80" s="107"/>
      <c r="O80" s="107"/>
      <c r="P80" s="108"/>
      <c r="R80" s="40" t="str">
        <f t="shared" si="14"/>
        <v/>
      </c>
      <c r="S80" s="40" t="str">
        <f t="shared" si="15"/>
        <v/>
      </c>
      <c r="T80" s="40">
        <f t="shared" si="16"/>
        <v>4601.5495506223242</v>
      </c>
      <c r="U80" s="91">
        <f t="shared" si="13"/>
        <v>23</v>
      </c>
      <c r="AL80" s="5"/>
    </row>
    <row r="81" spans="1:38" ht="24.75" customHeight="1" x14ac:dyDescent="0.25">
      <c r="A81" s="100" t="s">
        <v>76</v>
      </c>
      <c r="B81" s="101"/>
      <c r="C81" s="139"/>
      <c r="D81" s="103" t="s">
        <v>101</v>
      </c>
      <c r="E81" s="104" t="s">
        <v>102</v>
      </c>
      <c r="F81" s="104">
        <f>0.03*15</f>
        <v>0.44999999999999996</v>
      </c>
      <c r="G81" s="105">
        <f>'MAPA DE COTAÇÕES'!K8</f>
        <v>57.561356932153387</v>
      </c>
      <c r="H81" s="105"/>
      <c r="I81" s="106">
        <f t="shared" si="17"/>
        <v>25.9</v>
      </c>
      <c r="J81" s="103"/>
      <c r="K81" s="103">
        <f t="shared" si="11"/>
        <v>25.9</v>
      </c>
      <c r="L81" s="107"/>
      <c r="M81" s="107"/>
      <c r="N81" s="107"/>
      <c r="O81" s="107"/>
      <c r="P81" s="108"/>
      <c r="R81" s="40" t="str">
        <f t="shared" si="14"/>
        <v/>
      </c>
      <c r="S81" s="40" t="str">
        <f t="shared" si="15"/>
        <v/>
      </c>
      <c r="T81" s="40">
        <f t="shared" si="16"/>
        <v>716.70054339478133</v>
      </c>
      <c r="U81" s="91">
        <f t="shared" si="13"/>
        <v>23</v>
      </c>
      <c r="AL81" s="5"/>
    </row>
    <row r="82" spans="1:38" ht="35.25" customHeight="1" x14ac:dyDescent="0.25">
      <c r="A82" s="100" t="s">
        <v>76</v>
      </c>
      <c r="B82" s="101"/>
      <c r="C82" s="139"/>
      <c r="D82" s="103" t="s">
        <v>99</v>
      </c>
      <c r="E82" s="104" t="s">
        <v>67</v>
      </c>
      <c r="F82" s="104">
        <v>20</v>
      </c>
      <c r="G82" s="105">
        <f>'MAPA DE COTAÇÕES'!K9</f>
        <v>1.8133333333333335</v>
      </c>
      <c r="H82" s="105"/>
      <c r="I82" s="106">
        <f t="shared" si="17"/>
        <v>36.26</v>
      </c>
      <c r="J82" s="103"/>
      <c r="K82" s="103">
        <f t="shared" si="11"/>
        <v>36.26</v>
      </c>
      <c r="L82" s="107"/>
      <c r="M82" s="107"/>
      <c r="N82" s="107"/>
      <c r="O82" s="107"/>
      <c r="P82" s="108"/>
      <c r="R82" s="40" t="str">
        <f t="shared" si="14"/>
        <v/>
      </c>
      <c r="S82" s="40" t="str">
        <f t="shared" si="15"/>
        <v/>
      </c>
      <c r="T82" s="40">
        <f t="shared" si="16"/>
        <v>1003.3807607526938</v>
      </c>
      <c r="U82" s="91">
        <f t="shared" si="13"/>
        <v>23</v>
      </c>
      <c r="AL82" s="5"/>
    </row>
    <row r="83" spans="1:38" ht="35.25" customHeight="1" x14ac:dyDescent="0.25">
      <c r="A83" s="100" t="s">
        <v>76</v>
      </c>
      <c r="B83" s="101"/>
      <c r="C83" s="139"/>
      <c r="D83" s="103" t="s">
        <v>100</v>
      </c>
      <c r="E83" s="104" t="s">
        <v>67</v>
      </c>
      <c r="F83" s="104">
        <v>20</v>
      </c>
      <c r="G83" s="105">
        <f>'MAPA DE COTAÇÕES'!K10</f>
        <v>1.44</v>
      </c>
      <c r="H83" s="105"/>
      <c r="I83" s="106">
        <f t="shared" si="17"/>
        <v>28.8</v>
      </c>
      <c r="J83" s="103"/>
      <c r="K83" s="103">
        <f t="shared" si="11"/>
        <v>28.8</v>
      </c>
      <c r="L83" s="107"/>
      <c r="M83" s="107"/>
      <c r="N83" s="107"/>
      <c r="O83" s="107"/>
      <c r="P83" s="108"/>
      <c r="R83" s="40" t="str">
        <f t="shared" si="14"/>
        <v/>
      </c>
      <c r="S83" s="40" t="str">
        <f t="shared" si="15"/>
        <v/>
      </c>
      <c r="T83" s="40">
        <f t="shared" si="16"/>
        <v>796.94886678647504</v>
      </c>
      <c r="U83" s="91">
        <f t="shared" si="13"/>
        <v>23</v>
      </c>
      <c r="AL83" s="5"/>
    </row>
    <row r="84" spans="1:38" ht="15.75" customHeight="1" x14ac:dyDescent="0.25">
      <c r="A84" s="140"/>
      <c r="B84" s="141"/>
      <c r="C84" s="142"/>
      <c r="D84" s="143"/>
      <c r="E84" s="144"/>
      <c r="F84" s="144"/>
      <c r="G84" s="145"/>
      <c r="H84" s="145"/>
      <c r="I84" s="143"/>
      <c r="J84" s="143"/>
      <c r="K84" s="143"/>
      <c r="L84" s="143"/>
      <c r="M84" s="143"/>
      <c r="N84" s="143"/>
      <c r="O84" s="146"/>
      <c r="P84" s="147"/>
      <c r="R84" s="40" t="str">
        <f t="shared" si="14"/>
        <v/>
      </c>
      <c r="S84" s="40" t="str">
        <f t="shared" si="15"/>
        <v/>
      </c>
      <c r="T84" s="40" t="str">
        <f t="shared" si="16"/>
        <v/>
      </c>
      <c r="U84" s="91">
        <f t="shared" si="13"/>
        <v>23</v>
      </c>
      <c r="AL84" s="5"/>
    </row>
    <row r="85" spans="1:38" ht="83.25" customHeight="1" x14ac:dyDescent="0.25">
      <c r="A85" s="83" t="s">
        <v>172</v>
      </c>
      <c r="B85" s="148" t="s">
        <v>175</v>
      </c>
      <c r="C85" s="85" t="s">
        <v>8</v>
      </c>
      <c r="D85" s="86" t="s">
        <v>180</v>
      </c>
      <c r="E85" s="87" t="s">
        <v>10</v>
      </c>
      <c r="F85" s="87"/>
      <c r="G85" s="88"/>
      <c r="H85" s="124">
        <f>ENDEREÇOS!F21</f>
        <v>42</v>
      </c>
      <c r="I85" s="89">
        <f>ROUND(SUM(I86:I98),2)</f>
        <v>2695.03</v>
      </c>
      <c r="J85" s="89">
        <f>ROUND(SUM(J86:J96),2)</f>
        <v>1491.37</v>
      </c>
      <c r="K85" s="89">
        <f t="shared" ref="K85:K98" si="18">I85+J85</f>
        <v>4186.3999999999996</v>
      </c>
      <c r="L85" s="89">
        <f>H85*I85</f>
        <v>113191.26000000001</v>
      </c>
      <c r="M85" s="89">
        <f>H85*J85</f>
        <v>62637.539999999994</v>
      </c>
      <c r="N85" s="89">
        <f>L85+M85</f>
        <v>175828.8</v>
      </c>
      <c r="O85" s="89">
        <f>N85*$O$3</f>
        <v>35714.924197502674</v>
      </c>
      <c r="P85" s="90">
        <f>N85+O85</f>
        <v>211543.72419750266</v>
      </c>
      <c r="R85" s="40" t="str">
        <f t="shared" si="14"/>
        <v/>
      </c>
      <c r="S85" s="40" t="str">
        <f t="shared" si="15"/>
        <v/>
      </c>
      <c r="T85" s="40" t="str">
        <f t="shared" si="16"/>
        <v/>
      </c>
      <c r="U85" s="91">
        <f t="shared" si="13"/>
        <v>42</v>
      </c>
      <c r="AL85" s="5"/>
    </row>
    <row r="86" spans="1:38" ht="24.75" customHeight="1" x14ac:dyDescent="0.25">
      <c r="A86" s="100" t="s">
        <v>64</v>
      </c>
      <c r="B86" s="101"/>
      <c r="C86" s="139"/>
      <c r="D86" s="103" t="s">
        <v>70</v>
      </c>
      <c r="E86" s="104" t="s">
        <v>71</v>
      </c>
      <c r="F86" s="104">
        <v>0.3</v>
      </c>
      <c r="G86" s="105">
        <f>SUM(I93:I98)</f>
        <v>2695.0299999999997</v>
      </c>
      <c r="H86" s="105"/>
      <c r="I86" s="106"/>
      <c r="J86" s="103">
        <f t="shared" ref="J86:J92" si="19">ROUNDDOWN(F86*G86,2)</f>
        <v>808.5</v>
      </c>
      <c r="K86" s="103">
        <f t="shared" si="18"/>
        <v>808.5</v>
      </c>
      <c r="L86" s="107"/>
      <c r="M86" s="107"/>
      <c r="N86" s="107"/>
      <c r="O86" s="107"/>
      <c r="P86" s="108"/>
      <c r="R86" s="40">
        <f t="shared" si="14"/>
        <v>40854.457532409928</v>
      </c>
      <c r="S86" s="40" t="str">
        <f t="shared" si="15"/>
        <v/>
      </c>
      <c r="T86" s="40" t="str">
        <f t="shared" si="16"/>
        <v/>
      </c>
      <c r="U86" s="91">
        <f t="shared" si="13"/>
        <v>42</v>
      </c>
      <c r="AL86" s="5"/>
    </row>
    <row r="87" spans="1:38" ht="24.75" customHeight="1" x14ac:dyDescent="0.25">
      <c r="A87" s="100" t="s">
        <v>64</v>
      </c>
      <c r="B87" s="110">
        <v>88248</v>
      </c>
      <c r="C87" s="102"/>
      <c r="D87" s="103" t="s">
        <v>90</v>
      </c>
      <c r="E87" s="104" t="s">
        <v>84</v>
      </c>
      <c r="F87" s="104">
        <v>4</v>
      </c>
      <c r="G87" s="105">
        <v>27.81</v>
      </c>
      <c r="H87" s="105"/>
      <c r="I87" s="106"/>
      <c r="J87" s="103">
        <f t="shared" si="19"/>
        <v>111.24</v>
      </c>
      <c r="K87" s="103">
        <f t="shared" si="18"/>
        <v>111.24</v>
      </c>
      <c r="L87" s="107"/>
      <c r="M87" s="107"/>
      <c r="N87" s="107"/>
      <c r="O87" s="107"/>
      <c r="P87" s="108"/>
      <c r="R87" s="40">
        <f t="shared" si="14"/>
        <v>5621.0882571493876</v>
      </c>
      <c r="S87" s="40" t="str">
        <f t="shared" si="15"/>
        <v/>
      </c>
      <c r="T87" s="40" t="str">
        <f t="shared" si="16"/>
        <v/>
      </c>
      <c r="U87" s="91">
        <f t="shared" si="13"/>
        <v>42</v>
      </c>
      <c r="AL87" s="5"/>
    </row>
    <row r="88" spans="1:38" ht="24.75" customHeight="1" x14ac:dyDescent="0.25">
      <c r="A88" s="100" t="s">
        <v>64</v>
      </c>
      <c r="B88" s="110">
        <v>88267</v>
      </c>
      <c r="C88" s="102"/>
      <c r="D88" s="103" t="s">
        <v>83</v>
      </c>
      <c r="E88" s="104" t="s">
        <v>84</v>
      </c>
      <c r="F88" s="104">
        <v>4</v>
      </c>
      <c r="G88" s="105">
        <v>33.950000000000003</v>
      </c>
      <c r="H88" s="105"/>
      <c r="I88" s="106"/>
      <c r="J88" s="103">
        <f t="shared" si="19"/>
        <v>135.80000000000001</v>
      </c>
      <c r="K88" s="103">
        <f t="shared" si="18"/>
        <v>135.80000000000001</v>
      </c>
      <c r="L88" s="107"/>
      <c r="M88" s="107"/>
      <c r="N88" s="107"/>
      <c r="O88" s="107"/>
      <c r="P88" s="108"/>
      <c r="R88" s="40">
        <f t="shared" si="14"/>
        <v>6862.1339924567328</v>
      </c>
      <c r="S88" s="40" t="str">
        <f t="shared" si="15"/>
        <v/>
      </c>
      <c r="T88" s="40" t="str">
        <f t="shared" si="16"/>
        <v/>
      </c>
      <c r="U88" s="91">
        <f t="shared" si="13"/>
        <v>42</v>
      </c>
      <c r="AL88" s="5"/>
    </row>
    <row r="89" spans="1:38" ht="24.75" customHeight="1" x14ac:dyDescent="0.25">
      <c r="A89" s="100" t="s">
        <v>64</v>
      </c>
      <c r="B89" s="110">
        <v>88247</v>
      </c>
      <c r="C89" s="102"/>
      <c r="D89" s="103" t="s">
        <v>177</v>
      </c>
      <c r="E89" s="104" t="s">
        <v>84</v>
      </c>
      <c r="F89" s="104">
        <v>1</v>
      </c>
      <c r="G89" s="105">
        <v>28.93</v>
      </c>
      <c r="H89" s="105"/>
      <c r="I89" s="106"/>
      <c r="J89" s="103">
        <f t="shared" si="19"/>
        <v>28.93</v>
      </c>
      <c r="K89" s="103">
        <f t="shared" si="18"/>
        <v>28.93</v>
      </c>
      <c r="L89" s="107"/>
      <c r="M89" s="107"/>
      <c r="N89" s="107"/>
      <c r="O89" s="107"/>
      <c r="P89" s="108"/>
      <c r="R89" s="40">
        <f t="shared" si="14"/>
        <v>1461.8669838127632</v>
      </c>
      <c r="S89" s="40" t="str">
        <f t="shared" si="15"/>
        <v/>
      </c>
      <c r="T89" s="40" t="str">
        <f t="shared" si="16"/>
        <v/>
      </c>
      <c r="U89" s="91">
        <f t="shared" si="13"/>
        <v>42</v>
      </c>
      <c r="AL89" s="5"/>
    </row>
    <row r="90" spans="1:38" ht="24.75" customHeight="1" x14ac:dyDescent="0.25">
      <c r="A90" s="100" t="s">
        <v>64</v>
      </c>
      <c r="B90" s="110">
        <v>88264</v>
      </c>
      <c r="C90" s="102"/>
      <c r="D90" s="103" t="s">
        <v>178</v>
      </c>
      <c r="E90" s="104" t="s">
        <v>84</v>
      </c>
      <c r="F90" s="104">
        <v>1</v>
      </c>
      <c r="G90" s="105">
        <v>35.200000000000003</v>
      </c>
      <c r="H90" s="105"/>
      <c r="I90" s="106"/>
      <c r="J90" s="103">
        <f t="shared" si="19"/>
        <v>35.200000000000003</v>
      </c>
      <c r="K90" s="103">
        <f t="shared" si="18"/>
        <v>35.200000000000003</v>
      </c>
      <c r="L90" s="107"/>
      <c r="M90" s="107"/>
      <c r="N90" s="107"/>
      <c r="O90" s="107"/>
      <c r="P90" s="108"/>
      <c r="R90" s="40">
        <f t="shared" si="14"/>
        <v>1778.6974707987997</v>
      </c>
      <c r="S90" s="40" t="str">
        <f t="shared" si="15"/>
        <v/>
      </c>
      <c r="T90" s="40" t="str">
        <f t="shared" si="16"/>
        <v/>
      </c>
      <c r="U90" s="91">
        <f t="shared" si="13"/>
        <v>42</v>
      </c>
      <c r="AL90" s="5"/>
    </row>
    <row r="91" spans="1:38" ht="24.75" customHeight="1" x14ac:dyDescent="0.25">
      <c r="A91" s="100" t="s">
        <v>64</v>
      </c>
      <c r="B91" s="110">
        <v>88277</v>
      </c>
      <c r="C91" s="102"/>
      <c r="D91" s="103" t="s">
        <v>174</v>
      </c>
      <c r="E91" s="104" t="s">
        <v>84</v>
      </c>
      <c r="F91" s="104">
        <v>6</v>
      </c>
      <c r="G91" s="105">
        <v>35.049999999999997</v>
      </c>
      <c r="H91" s="105"/>
      <c r="I91" s="106"/>
      <c r="J91" s="103">
        <f t="shared" si="19"/>
        <v>210.3</v>
      </c>
      <c r="K91" s="103">
        <f t="shared" si="18"/>
        <v>210.3</v>
      </c>
      <c r="L91" s="107"/>
      <c r="M91" s="107"/>
      <c r="N91" s="107"/>
      <c r="O91" s="107"/>
      <c r="P91" s="108"/>
      <c r="R91" s="40">
        <f t="shared" si="14"/>
        <v>10626.706764459874</v>
      </c>
      <c r="S91" s="40" t="str">
        <f t="shared" si="15"/>
        <v/>
      </c>
      <c r="T91" s="40" t="str">
        <f t="shared" si="16"/>
        <v/>
      </c>
      <c r="U91" s="91">
        <f t="shared" si="13"/>
        <v>42</v>
      </c>
      <c r="AL91" s="5"/>
    </row>
    <row r="92" spans="1:38" ht="24.75" customHeight="1" x14ac:dyDescent="0.25">
      <c r="A92" s="100" t="s">
        <v>64</v>
      </c>
      <c r="B92" s="110">
        <v>88316</v>
      </c>
      <c r="C92" s="102"/>
      <c r="D92" s="103" t="s">
        <v>170</v>
      </c>
      <c r="E92" s="104" t="s">
        <v>84</v>
      </c>
      <c r="F92" s="104">
        <v>6</v>
      </c>
      <c r="G92" s="105">
        <v>26.9</v>
      </c>
      <c r="H92" s="105"/>
      <c r="I92" s="106"/>
      <c r="J92" s="103">
        <f t="shared" si="19"/>
        <v>161.4</v>
      </c>
      <c r="K92" s="103">
        <f t="shared" si="18"/>
        <v>161.4</v>
      </c>
      <c r="L92" s="107"/>
      <c r="M92" s="107"/>
      <c r="N92" s="107"/>
      <c r="O92" s="107"/>
      <c r="P92" s="108"/>
      <c r="R92" s="40">
        <f t="shared" si="14"/>
        <v>8155.7321530376776</v>
      </c>
      <c r="S92" s="40" t="str">
        <f t="shared" si="15"/>
        <v/>
      </c>
      <c r="T92" s="40" t="str">
        <f t="shared" si="16"/>
        <v/>
      </c>
      <c r="U92" s="91">
        <f t="shared" si="13"/>
        <v>42</v>
      </c>
      <c r="AL92" s="5"/>
    </row>
    <row r="93" spans="1:38" ht="24.75" customHeight="1" x14ac:dyDescent="0.25">
      <c r="A93" s="100" t="s">
        <v>64</v>
      </c>
      <c r="B93" s="110">
        <v>39664</v>
      </c>
      <c r="C93" s="102"/>
      <c r="D93" s="103" t="s">
        <v>69</v>
      </c>
      <c r="E93" s="104" t="s">
        <v>67</v>
      </c>
      <c r="F93" s="104">
        <v>30</v>
      </c>
      <c r="G93" s="105">
        <v>28.96</v>
      </c>
      <c r="H93" s="105"/>
      <c r="I93" s="106">
        <f t="shared" ref="I93:I98" si="20">ROUNDDOWN(F93*G93,2)</f>
        <v>868.8</v>
      </c>
      <c r="J93" s="103"/>
      <c r="K93" s="103">
        <f t="shared" si="18"/>
        <v>868.8</v>
      </c>
      <c r="L93" s="107"/>
      <c r="M93" s="107"/>
      <c r="N93" s="107"/>
      <c r="O93" s="107"/>
      <c r="P93" s="108"/>
      <c r="R93" s="40">
        <f t="shared" si="14"/>
        <v>43901.487574715822</v>
      </c>
      <c r="S93" s="40" t="str">
        <f t="shared" si="15"/>
        <v/>
      </c>
      <c r="T93" s="40" t="str">
        <f t="shared" si="16"/>
        <v/>
      </c>
      <c r="U93" s="91">
        <f t="shared" si="13"/>
        <v>42</v>
      </c>
      <c r="AL93" s="5"/>
    </row>
    <row r="94" spans="1:38" ht="24.75" customHeight="1" x14ac:dyDescent="0.25">
      <c r="A94" s="100" t="s">
        <v>64</v>
      </c>
      <c r="B94" s="110">
        <v>39665</v>
      </c>
      <c r="C94" s="102"/>
      <c r="D94" s="103" t="s">
        <v>66</v>
      </c>
      <c r="E94" s="104" t="s">
        <v>67</v>
      </c>
      <c r="F94" s="104">
        <v>30</v>
      </c>
      <c r="G94" s="105">
        <v>47.87</v>
      </c>
      <c r="H94" s="105"/>
      <c r="I94" s="106">
        <f t="shared" si="20"/>
        <v>1436.1</v>
      </c>
      <c r="J94" s="103"/>
      <c r="K94" s="103">
        <f t="shared" si="18"/>
        <v>1436.1</v>
      </c>
      <c r="L94" s="107"/>
      <c r="M94" s="107"/>
      <c r="N94" s="107"/>
      <c r="O94" s="107"/>
      <c r="P94" s="108"/>
      <c r="R94" s="40">
        <f t="shared" si="14"/>
        <v>72567.824937902158</v>
      </c>
      <c r="S94" s="40" t="str">
        <f t="shared" si="15"/>
        <v/>
      </c>
      <c r="T94" s="40" t="str">
        <f t="shared" si="16"/>
        <v/>
      </c>
      <c r="U94" s="91">
        <f t="shared" si="13"/>
        <v>42</v>
      </c>
      <c r="AL94" s="5"/>
    </row>
    <row r="95" spans="1:38" ht="24.75" customHeight="1" x14ac:dyDescent="0.25">
      <c r="A95" s="100" t="s">
        <v>76</v>
      </c>
      <c r="B95" s="101"/>
      <c r="C95" s="139"/>
      <c r="D95" s="103" t="s">
        <v>77</v>
      </c>
      <c r="E95" s="104" t="s">
        <v>45</v>
      </c>
      <c r="F95" s="104">
        <v>30.02</v>
      </c>
      <c r="G95" s="105">
        <f>'MAPA DE COTAÇÕES'!K11</f>
        <v>8.3066666666666666</v>
      </c>
      <c r="H95" s="105"/>
      <c r="I95" s="106">
        <f t="shared" si="20"/>
        <v>249.36</v>
      </c>
      <c r="J95" s="103"/>
      <c r="K95" s="103">
        <f t="shared" si="18"/>
        <v>249.36</v>
      </c>
      <c r="L95" s="107"/>
      <c r="M95" s="107"/>
      <c r="N95" s="107"/>
      <c r="O95" s="107"/>
      <c r="P95" s="108"/>
      <c r="R95" s="40" t="str">
        <f t="shared" si="14"/>
        <v/>
      </c>
      <c r="S95" s="40" t="str">
        <f t="shared" si="15"/>
        <v/>
      </c>
      <c r="T95" s="40">
        <f t="shared" si="16"/>
        <v>12600.454582908769</v>
      </c>
      <c r="U95" s="91">
        <f t="shared" si="13"/>
        <v>42</v>
      </c>
      <c r="AL95" s="5"/>
    </row>
    <row r="96" spans="1:38" ht="24.75" customHeight="1" x14ac:dyDescent="0.25">
      <c r="A96" s="100" t="s">
        <v>76</v>
      </c>
      <c r="B96" s="101"/>
      <c r="C96" s="139"/>
      <c r="D96" s="103" t="s">
        <v>101</v>
      </c>
      <c r="E96" s="104" t="s">
        <v>102</v>
      </c>
      <c r="F96" s="104">
        <f>0.03*25</f>
        <v>0.75</v>
      </c>
      <c r="G96" s="105">
        <f>'MAPA DE COTAÇÕES'!K8</f>
        <v>57.561356932153387</v>
      </c>
      <c r="H96" s="105"/>
      <c r="I96" s="106">
        <f t="shared" si="20"/>
        <v>43.17</v>
      </c>
      <c r="J96" s="103"/>
      <c r="K96" s="103">
        <f t="shared" si="18"/>
        <v>43.17</v>
      </c>
      <c r="L96" s="107"/>
      <c r="M96" s="107"/>
      <c r="N96" s="107"/>
      <c r="O96" s="107"/>
      <c r="P96" s="108"/>
      <c r="R96" s="40" t="str">
        <f t="shared" si="14"/>
        <v/>
      </c>
      <c r="S96" s="40" t="str">
        <f t="shared" si="15"/>
        <v/>
      </c>
      <c r="T96" s="40">
        <f t="shared" si="16"/>
        <v>2181.4309606359143</v>
      </c>
      <c r="U96" s="91">
        <f t="shared" si="13"/>
        <v>42</v>
      </c>
      <c r="AL96" s="5"/>
    </row>
    <row r="97" spans="1:38" ht="35.25" customHeight="1" x14ac:dyDescent="0.25">
      <c r="A97" s="100" t="s">
        <v>76</v>
      </c>
      <c r="B97" s="101"/>
      <c r="C97" s="139"/>
      <c r="D97" s="103" t="s">
        <v>99</v>
      </c>
      <c r="E97" s="104" t="s">
        <v>67</v>
      </c>
      <c r="F97" s="104">
        <v>30</v>
      </c>
      <c r="G97" s="105">
        <f>'MAPA DE COTAÇÕES'!K9</f>
        <v>1.8133333333333335</v>
      </c>
      <c r="H97" s="105"/>
      <c r="I97" s="106">
        <f t="shared" si="20"/>
        <v>54.4</v>
      </c>
      <c r="J97" s="103"/>
      <c r="K97" s="103">
        <f t="shared" si="18"/>
        <v>54.4</v>
      </c>
      <c r="L97" s="107"/>
      <c r="M97" s="107"/>
      <c r="N97" s="107"/>
      <c r="O97" s="107"/>
      <c r="P97" s="108"/>
      <c r="R97" s="40" t="str">
        <f t="shared" si="14"/>
        <v/>
      </c>
      <c r="S97" s="40" t="str">
        <f t="shared" si="15"/>
        <v/>
      </c>
      <c r="T97" s="40">
        <f t="shared" si="16"/>
        <v>2748.8960912345078</v>
      </c>
      <c r="U97" s="91">
        <f t="shared" si="13"/>
        <v>42</v>
      </c>
      <c r="AL97" s="5"/>
    </row>
    <row r="98" spans="1:38" ht="35.25" customHeight="1" x14ac:dyDescent="0.25">
      <c r="A98" s="100" t="s">
        <v>76</v>
      </c>
      <c r="B98" s="101"/>
      <c r="C98" s="139"/>
      <c r="D98" s="103" t="s">
        <v>100</v>
      </c>
      <c r="E98" s="104" t="s">
        <v>67</v>
      </c>
      <c r="F98" s="104">
        <v>30</v>
      </c>
      <c r="G98" s="105">
        <f>'MAPA DE COTAÇÕES'!K10</f>
        <v>1.44</v>
      </c>
      <c r="H98" s="105"/>
      <c r="I98" s="106">
        <f t="shared" si="20"/>
        <v>43.2</v>
      </c>
      <c r="J98" s="103"/>
      <c r="K98" s="103">
        <f t="shared" si="18"/>
        <v>43.2</v>
      </c>
      <c r="L98" s="107"/>
      <c r="M98" s="107"/>
      <c r="N98" s="107"/>
      <c r="O98" s="107"/>
      <c r="P98" s="108"/>
      <c r="R98" s="40" t="str">
        <f t="shared" si="14"/>
        <v/>
      </c>
      <c r="S98" s="40" t="str">
        <f t="shared" si="15"/>
        <v/>
      </c>
      <c r="T98" s="40">
        <f t="shared" si="16"/>
        <v>2182.9468959803448</v>
      </c>
      <c r="U98" s="91">
        <f t="shared" si="13"/>
        <v>42</v>
      </c>
      <c r="AL98" s="5"/>
    </row>
    <row r="99" spans="1:38" s="5" customFormat="1" ht="21.75" customHeight="1" x14ac:dyDescent="0.25">
      <c r="A99" s="149"/>
      <c r="B99" s="150"/>
      <c r="C99" s="139"/>
      <c r="D99" s="151"/>
      <c r="E99" s="152"/>
      <c r="F99" s="152"/>
      <c r="G99" s="105"/>
      <c r="H99" s="105"/>
      <c r="I99" s="153"/>
      <c r="J99" s="151"/>
      <c r="K99" s="107"/>
      <c r="L99" s="107"/>
      <c r="M99" s="107"/>
      <c r="N99" s="107"/>
      <c r="O99" s="107"/>
      <c r="P99" s="108"/>
      <c r="R99" s="40" t="str">
        <f t="shared" si="14"/>
        <v/>
      </c>
      <c r="S99" s="40" t="str">
        <f t="shared" si="15"/>
        <v/>
      </c>
      <c r="T99" s="40" t="str">
        <f t="shared" si="16"/>
        <v/>
      </c>
      <c r="U99" s="91">
        <f t="shared" si="13"/>
        <v>42</v>
      </c>
    </row>
    <row r="100" spans="1:38" ht="83.25" customHeight="1" x14ac:dyDescent="0.25">
      <c r="A100" s="83" t="s">
        <v>172</v>
      </c>
      <c r="B100" s="148" t="s">
        <v>175</v>
      </c>
      <c r="C100" s="85" t="s">
        <v>13</v>
      </c>
      <c r="D100" s="86" t="s">
        <v>181</v>
      </c>
      <c r="E100" s="87" t="s">
        <v>10</v>
      </c>
      <c r="F100" s="87"/>
      <c r="G100" s="88"/>
      <c r="H100" s="124">
        <f>ENDEREÇOS!G21</f>
        <v>6</v>
      </c>
      <c r="I100" s="89">
        <f>ROUND(SUM(I101:I113),2)</f>
        <v>3593.32</v>
      </c>
      <c r="J100" s="89">
        <f>ROUND(SUM(J101:J111),2)</f>
        <v>1581.2</v>
      </c>
      <c r="K100" s="89">
        <f t="shared" ref="K100:K113" si="21">I100+J100</f>
        <v>5174.5200000000004</v>
      </c>
      <c r="L100" s="89">
        <f>H100*I100</f>
        <v>21559.920000000002</v>
      </c>
      <c r="M100" s="89">
        <f>H100*J100</f>
        <v>9487.2000000000007</v>
      </c>
      <c r="N100" s="89">
        <f>L100+M100</f>
        <v>31047.120000000003</v>
      </c>
      <c r="O100" s="89">
        <f>N100*$O$3</f>
        <v>6306.3931355430359</v>
      </c>
      <c r="P100" s="90">
        <f>N100+O100</f>
        <v>37353.513135543035</v>
      </c>
      <c r="R100" s="40" t="str">
        <f t="shared" si="14"/>
        <v/>
      </c>
      <c r="S100" s="40" t="str">
        <f t="shared" si="15"/>
        <v/>
      </c>
      <c r="T100" s="40" t="str">
        <f t="shared" si="16"/>
        <v/>
      </c>
      <c r="U100" s="91">
        <f t="shared" si="13"/>
        <v>6</v>
      </c>
      <c r="AL100" s="5"/>
    </row>
    <row r="101" spans="1:38" ht="24.75" customHeight="1" x14ac:dyDescent="0.25">
      <c r="A101" s="100" t="s">
        <v>64</v>
      </c>
      <c r="B101" s="101"/>
      <c r="C101" s="139"/>
      <c r="D101" s="103" t="s">
        <v>70</v>
      </c>
      <c r="E101" s="104" t="s">
        <v>71</v>
      </c>
      <c r="F101" s="104">
        <v>0.25</v>
      </c>
      <c r="G101" s="105">
        <f>SUM(I108:I113)</f>
        <v>3593.3199999999997</v>
      </c>
      <c r="H101" s="105"/>
      <c r="I101" s="106"/>
      <c r="J101" s="103">
        <f t="shared" ref="J101:J107" si="22">ROUNDDOWN(F101*G101,2)</f>
        <v>898.33</v>
      </c>
      <c r="K101" s="103">
        <f t="shared" si="21"/>
        <v>898.33</v>
      </c>
      <c r="L101" s="107"/>
      <c r="M101" s="107"/>
      <c r="N101" s="107"/>
      <c r="O101" s="107"/>
      <c r="P101" s="108"/>
      <c r="R101" s="40">
        <f t="shared" si="14"/>
        <v>6484.8104664881721</v>
      </c>
      <c r="S101" s="40" t="str">
        <f t="shared" si="15"/>
        <v/>
      </c>
      <c r="T101" s="40" t="str">
        <f t="shared" si="16"/>
        <v/>
      </c>
      <c r="U101" s="91">
        <f t="shared" si="13"/>
        <v>6</v>
      </c>
      <c r="AL101" s="5"/>
    </row>
    <row r="102" spans="1:38" ht="24.75" customHeight="1" x14ac:dyDescent="0.25">
      <c r="A102" s="100" t="s">
        <v>64</v>
      </c>
      <c r="B102" s="110">
        <v>88248</v>
      </c>
      <c r="C102" s="102"/>
      <c r="D102" s="103" t="s">
        <v>90</v>
      </c>
      <c r="E102" s="104" t="s">
        <v>84</v>
      </c>
      <c r="F102" s="104">
        <v>4</v>
      </c>
      <c r="G102" s="105">
        <v>27.81</v>
      </c>
      <c r="H102" s="105"/>
      <c r="I102" s="106"/>
      <c r="J102" s="103">
        <f t="shared" si="22"/>
        <v>111.24</v>
      </c>
      <c r="K102" s="103">
        <f t="shared" si="21"/>
        <v>111.24</v>
      </c>
      <c r="L102" s="107"/>
      <c r="M102" s="107"/>
      <c r="N102" s="107"/>
      <c r="O102" s="107"/>
      <c r="P102" s="108"/>
      <c r="R102" s="40">
        <f t="shared" si="14"/>
        <v>803.01260816419824</v>
      </c>
      <c r="S102" s="40" t="str">
        <f t="shared" si="15"/>
        <v/>
      </c>
      <c r="T102" s="40" t="str">
        <f t="shared" si="16"/>
        <v/>
      </c>
      <c r="U102" s="91">
        <f t="shared" si="13"/>
        <v>6</v>
      </c>
      <c r="AL102" s="5"/>
    </row>
    <row r="103" spans="1:38" ht="24.75" customHeight="1" x14ac:dyDescent="0.25">
      <c r="A103" s="100" t="s">
        <v>64</v>
      </c>
      <c r="B103" s="110">
        <v>88267</v>
      </c>
      <c r="C103" s="102"/>
      <c r="D103" s="103" t="s">
        <v>83</v>
      </c>
      <c r="E103" s="104" t="s">
        <v>84</v>
      </c>
      <c r="F103" s="104">
        <v>4</v>
      </c>
      <c r="G103" s="105">
        <v>33.950000000000003</v>
      </c>
      <c r="H103" s="105"/>
      <c r="I103" s="106"/>
      <c r="J103" s="103">
        <f t="shared" si="22"/>
        <v>135.80000000000001</v>
      </c>
      <c r="K103" s="103">
        <f t="shared" si="21"/>
        <v>135.80000000000001</v>
      </c>
      <c r="L103" s="107"/>
      <c r="M103" s="107"/>
      <c r="N103" s="107"/>
      <c r="O103" s="107"/>
      <c r="P103" s="108"/>
      <c r="R103" s="40">
        <f t="shared" si="14"/>
        <v>980.30485606524758</v>
      </c>
      <c r="S103" s="40" t="str">
        <f t="shared" si="15"/>
        <v/>
      </c>
      <c r="T103" s="40" t="str">
        <f t="shared" si="16"/>
        <v/>
      </c>
      <c r="U103" s="91">
        <f t="shared" si="13"/>
        <v>6</v>
      </c>
      <c r="AL103" s="5"/>
    </row>
    <row r="104" spans="1:38" ht="24.75" customHeight="1" x14ac:dyDescent="0.25">
      <c r="A104" s="100" t="s">
        <v>64</v>
      </c>
      <c r="B104" s="110">
        <v>88247</v>
      </c>
      <c r="C104" s="102"/>
      <c r="D104" s="103" t="s">
        <v>177</v>
      </c>
      <c r="E104" s="104" t="s">
        <v>84</v>
      </c>
      <c r="F104" s="104">
        <v>1</v>
      </c>
      <c r="G104" s="105">
        <v>28.93</v>
      </c>
      <c r="H104" s="105"/>
      <c r="I104" s="106"/>
      <c r="J104" s="103">
        <f t="shared" si="22"/>
        <v>28.93</v>
      </c>
      <c r="K104" s="103">
        <f t="shared" si="21"/>
        <v>28.93</v>
      </c>
      <c r="L104" s="107"/>
      <c r="M104" s="107"/>
      <c r="N104" s="107"/>
      <c r="O104" s="107"/>
      <c r="P104" s="108"/>
      <c r="R104" s="40">
        <f t="shared" si="14"/>
        <v>208.83814054468047</v>
      </c>
      <c r="S104" s="40" t="str">
        <f t="shared" si="15"/>
        <v/>
      </c>
      <c r="T104" s="40" t="str">
        <f t="shared" si="16"/>
        <v/>
      </c>
      <c r="U104" s="91">
        <f t="shared" si="13"/>
        <v>6</v>
      </c>
      <c r="AL104" s="5"/>
    </row>
    <row r="105" spans="1:38" ht="24.75" customHeight="1" x14ac:dyDescent="0.25">
      <c r="A105" s="100" t="s">
        <v>64</v>
      </c>
      <c r="B105" s="110">
        <v>88264</v>
      </c>
      <c r="C105" s="102"/>
      <c r="D105" s="103" t="s">
        <v>178</v>
      </c>
      <c r="E105" s="104" t="s">
        <v>84</v>
      </c>
      <c r="F105" s="104">
        <v>1</v>
      </c>
      <c r="G105" s="105">
        <v>35.200000000000003</v>
      </c>
      <c r="H105" s="105"/>
      <c r="I105" s="106"/>
      <c r="J105" s="103">
        <f t="shared" si="22"/>
        <v>35.200000000000003</v>
      </c>
      <c r="K105" s="103">
        <f t="shared" si="21"/>
        <v>35.200000000000003</v>
      </c>
      <c r="L105" s="107"/>
      <c r="M105" s="107"/>
      <c r="N105" s="107"/>
      <c r="O105" s="107"/>
      <c r="P105" s="108"/>
      <c r="R105" s="40">
        <f t="shared" si="14"/>
        <v>254.0996386855428</v>
      </c>
      <c r="S105" s="40" t="str">
        <f t="shared" si="15"/>
        <v/>
      </c>
      <c r="T105" s="40" t="str">
        <f t="shared" si="16"/>
        <v/>
      </c>
      <c r="U105" s="91">
        <f t="shared" si="13"/>
        <v>6</v>
      </c>
      <c r="AL105" s="5"/>
    </row>
    <row r="106" spans="1:38" ht="24.75" customHeight="1" x14ac:dyDescent="0.25">
      <c r="A106" s="100" t="s">
        <v>64</v>
      </c>
      <c r="B106" s="110">
        <v>88277</v>
      </c>
      <c r="C106" s="102"/>
      <c r="D106" s="103" t="s">
        <v>174</v>
      </c>
      <c r="E106" s="104" t="s">
        <v>84</v>
      </c>
      <c r="F106" s="104">
        <v>6</v>
      </c>
      <c r="G106" s="105">
        <v>35.049999999999997</v>
      </c>
      <c r="H106" s="105"/>
      <c r="I106" s="106"/>
      <c r="J106" s="103">
        <f t="shared" si="22"/>
        <v>210.3</v>
      </c>
      <c r="K106" s="103">
        <f t="shared" si="21"/>
        <v>210.3</v>
      </c>
      <c r="L106" s="107"/>
      <c r="M106" s="107"/>
      <c r="N106" s="107"/>
      <c r="O106" s="107"/>
      <c r="P106" s="108"/>
      <c r="R106" s="40">
        <f t="shared" si="14"/>
        <v>1518.1009663514108</v>
      </c>
      <c r="S106" s="40" t="str">
        <f t="shared" si="15"/>
        <v/>
      </c>
      <c r="T106" s="40" t="str">
        <f t="shared" si="16"/>
        <v/>
      </c>
      <c r="U106" s="91">
        <f t="shared" ref="U106:U139" si="23">IF(H106&lt;&gt;0,H106,U105)</f>
        <v>6</v>
      </c>
      <c r="AL106" s="5"/>
    </row>
    <row r="107" spans="1:38" ht="24.75" customHeight="1" x14ac:dyDescent="0.25">
      <c r="A107" s="100" t="s">
        <v>64</v>
      </c>
      <c r="B107" s="110">
        <v>88316</v>
      </c>
      <c r="C107" s="102"/>
      <c r="D107" s="103" t="s">
        <v>170</v>
      </c>
      <c r="E107" s="104" t="s">
        <v>84</v>
      </c>
      <c r="F107" s="104">
        <v>6</v>
      </c>
      <c r="G107" s="105">
        <v>26.9</v>
      </c>
      <c r="H107" s="105"/>
      <c r="I107" s="106"/>
      <c r="J107" s="103">
        <f t="shared" si="22"/>
        <v>161.4</v>
      </c>
      <c r="K107" s="103">
        <f t="shared" si="21"/>
        <v>161.4</v>
      </c>
      <c r="L107" s="107"/>
      <c r="M107" s="107"/>
      <c r="N107" s="107"/>
      <c r="O107" s="107"/>
      <c r="P107" s="108"/>
      <c r="R107" s="40">
        <f t="shared" ref="R107:R138" si="24">IF(A107="SINAPI",U107*K107*(1+$O$3),"")</f>
        <v>1165.1045932910968</v>
      </c>
      <c r="S107" s="40" t="str">
        <f t="shared" ref="S107:S138" si="25">IF(A107="TCPO",U107*K107*(1+$O$3),"")</f>
        <v/>
      </c>
      <c r="T107" s="40" t="str">
        <f t="shared" ref="T107:T138" si="26">IF(A107="Cotação",U107*K107*(1+$O$3),"")</f>
        <v/>
      </c>
      <c r="U107" s="91">
        <f t="shared" si="23"/>
        <v>6</v>
      </c>
      <c r="AL107" s="5"/>
    </row>
    <row r="108" spans="1:38" ht="24.75" customHeight="1" x14ac:dyDescent="0.25">
      <c r="A108" s="100" t="s">
        <v>64</v>
      </c>
      <c r="B108" s="110">
        <v>39664</v>
      </c>
      <c r="C108" s="102"/>
      <c r="D108" s="103" t="s">
        <v>69</v>
      </c>
      <c r="E108" s="104" t="s">
        <v>67</v>
      </c>
      <c r="F108" s="104">
        <v>40</v>
      </c>
      <c r="G108" s="105">
        <v>28.96</v>
      </c>
      <c r="H108" s="105"/>
      <c r="I108" s="106">
        <f t="shared" ref="I108:I113" si="27">ROUNDDOWN(F108*G108,2)</f>
        <v>1158.4000000000001</v>
      </c>
      <c r="J108" s="103"/>
      <c r="K108" s="103">
        <f t="shared" si="21"/>
        <v>1158.4000000000001</v>
      </c>
      <c r="L108" s="107"/>
      <c r="M108" s="107"/>
      <c r="N108" s="107"/>
      <c r="O108" s="107"/>
      <c r="P108" s="108"/>
      <c r="R108" s="40">
        <f t="shared" si="24"/>
        <v>8362.1881094696819</v>
      </c>
      <c r="S108" s="40" t="str">
        <f t="shared" si="25"/>
        <v/>
      </c>
      <c r="T108" s="40" t="str">
        <f t="shared" si="26"/>
        <v/>
      </c>
      <c r="U108" s="91">
        <f t="shared" si="23"/>
        <v>6</v>
      </c>
      <c r="AL108" s="5"/>
    </row>
    <row r="109" spans="1:38" ht="24.75" customHeight="1" x14ac:dyDescent="0.25">
      <c r="A109" s="100" t="s">
        <v>64</v>
      </c>
      <c r="B109" s="110">
        <v>39665</v>
      </c>
      <c r="C109" s="102"/>
      <c r="D109" s="103" t="s">
        <v>66</v>
      </c>
      <c r="E109" s="104" t="s">
        <v>67</v>
      </c>
      <c r="F109" s="104">
        <v>40</v>
      </c>
      <c r="G109" s="105">
        <v>47.87</v>
      </c>
      <c r="H109" s="105"/>
      <c r="I109" s="106">
        <f t="shared" si="27"/>
        <v>1914.8</v>
      </c>
      <c r="J109" s="103"/>
      <c r="K109" s="103">
        <f t="shared" si="21"/>
        <v>1914.8</v>
      </c>
      <c r="L109" s="107"/>
      <c r="M109" s="107"/>
      <c r="N109" s="107"/>
      <c r="O109" s="107"/>
      <c r="P109" s="108"/>
      <c r="R109" s="40">
        <f t="shared" si="24"/>
        <v>13822.442845314696</v>
      </c>
      <c r="S109" s="40" t="str">
        <f t="shared" si="25"/>
        <v/>
      </c>
      <c r="T109" s="40" t="str">
        <f t="shared" si="26"/>
        <v/>
      </c>
      <c r="U109" s="91">
        <f t="shared" si="23"/>
        <v>6</v>
      </c>
      <c r="AL109" s="5"/>
    </row>
    <row r="110" spans="1:38" ht="24.75" customHeight="1" x14ac:dyDescent="0.25">
      <c r="A110" s="100" t="s">
        <v>76</v>
      </c>
      <c r="B110" s="101"/>
      <c r="C110" s="139"/>
      <c r="D110" s="103" t="s">
        <v>77</v>
      </c>
      <c r="E110" s="104" t="s">
        <v>45</v>
      </c>
      <c r="F110" s="104">
        <v>40.020000000000003</v>
      </c>
      <c r="G110" s="105">
        <f>'MAPA DE COTAÇÕES'!K11</f>
        <v>8.3066666666666666</v>
      </c>
      <c r="H110" s="105"/>
      <c r="I110" s="106">
        <f t="shared" si="27"/>
        <v>332.43</v>
      </c>
      <c r="J110" s="103"/>
      <c r="K110" s="103">
        <f t="shared" si="21"/>
        <v>332.43</v>
      </c>
      <c r="L110" s="107"/>
      <c r="M110" s="107"/>
      <c r="N110" s="107"/>
      <c r="O110" s="107"/>
      <c r="P110" s="108"/>
      <c r="R110" s="40" t="str">
        <f t="shared" si="24"/>
        <v/>
      </c>
      <c r="S110" s="40" t="str">
        <f t="shared" si="25"/>
        <v/>
      </c>
      <c r="T110" s="40">
        <f t="shared" si="26"/>
        <v>2399.7256502339483</v>
      </c>
      <c r="U110" s="91">
        <f t="shared" si="23"/>
        <v>6</v>
      </c>
      <c r="AL110" s="5"/>
    </row>
    <row r="111" spans="1:38" ht="24.75" customHeight="1" x14ac:dyDescent="0.25">
      <c r="A111" s="100" t="s">
        <v>76</v>
      </c>
      <c r="B111" s="101"/>
      <c r="C111" s="139"/>
      <c r="D111" s="103" t="s">
        <v>101</v>
      </c>
      <c r="E111" s="104" t="s">
        <v>102</v>
      </c>
      <c r="F111" s="104">
        <v>1</v>
      </c>
      <c r="G111" s="105">
        <f>'MAPA DE COTAÇÕES'!K8</f>
        <v>57.561356932153387</v>
      </c>
      <c r="H111" s="105"/>
      <c r="I111" s="106">
        <f t="shared" si="27"/>
        <v>57.56</v>
      </c>
      <c r="J111" s="103"/>
      <c r="K111" s="103">
        <f t="shared" si="21"/>
        <v>57.56</v>
      </c>
      <c r="L111" s="107"/>
      <c r="M111" s="107"/>
      <c r="N111" s="107"/>
      <c r="O111" s="107"/>
      <c r="P111" s="108"/>
      <c r="R111" s="40" t="str">
        <f t="shared" si="24"/>
        <v/>
      </c>
      <c r="S111" s="40" t="str">
        <f t="shared" si="25"/>
        <v/>
      </c>
      <c r="T111" s="40">
        <f t="shared" si="26"/>
        <v>415.51065916874558</v>
      </c>
      <c r="U111" s="91">
        <f t="shared" si="23"/>
        <v>6</v>
      </c>
      <c r="AL111" s="5"/>
    </row>
    <row r="112" spans="1:38" ht="24.75" customHeight="1" x14ac:dyDescent="0.25">
      <c r="A112" s="100" t="s">
        <v>76</v>
      </c>
      <c r="B112" s="101"/>
      <c r="C112" s="139"/>
      <c r="D112" s="103" t="s">
        <v>99</v>
      </c>
      <c r="E112" s="104" t="s">
        <v>67</v>
      </c>
      <c r="F112" s="104">
        <v>40</v>
      </c>
      <c r="G112" s="105">
        <f>'MAPA DE COTAÇÕES'!K9</f>
        <v>1.8133333333333335</v>
      </c>
      <c r="H112" s="105"/>
      <c r="I112" s="106">
        <f t="shared" si="27"/>
        <v>72.53</v>
      </c>
      <c r="J112" s="103"/>
      <c r="K112" s="103">
        <f t="shared" si="21"/>
        <v>72.53</v>
      </c>
      <c r="L112" s="107"/>
      <c r="M112" s="107"/>
      <c r="N112" s="107"/>
      <c r="O112" s="107"/>
      <c r="P112" s="108"/>
      <c r="R112" s="40" t="str">
        <f t="shared" si="24"/>
        <v/>
      </c>
      <c r="S112" s="40" t="str">
        <f t="shared" si="25"/>
        <v/>
      </c>
      <c r="T112" s="40">
        <f t="shared" si="26"/>
        <v>523.57519300745503</v>
      </c>
      <c r="U112" s="91">
        <f t="shared" si="23"/>
        <v>6</v>
      </c>
      <c r="AL112" s="5"/>
    </row>
    <row r="113" spans="1:38" ht="24.75" customHeight="1" x14ac:dyDescent="0.25">
      <c r="A113" s="100" t="s">
        <v>76</v>
      </c>
      <c r="B113" s="101"/>
      <c r="C113" s="139"/>
      <c r="D113" s="103" t="s">
        <v>100</v>
      </c>
      <c r="E113" s="104" t="s">
        <v>67</v>
      </c>
      <c r="F113" s="104">
        <v>40</v>
      </c>
      <c r="G113" s="105">
        <f>'MAPA DE COTAÇÕES'!K10</f>
        <v>1.44</v>
      </c>
      <c r="H113" s="105"/>
      <c r="I113" s="106">
        <f t="shared" si="27"/>
        <v>57.6</v>
      </c>
      <c r="J113" s="103"/>
      <c r="K113" s="103">
        <f t="shared" si="21"/>
        <v>57.6</v>
      </c>
      <c r="L113" s="107"/>
      <c r="M113" s="107"/>
      <c r="N113" s="107"/>
      <c r="O113" s="107"/>
      <c r="P113" s="108"/>
      <c r="R113" s="40" t="str">
        <f t="shared" si="24"/>
        <v/>
      </c>
      <c r="S113" s="40" t="str">
        <f t="shared" si="25"/>
        <v/>
      </c>
      <c r="T113" s="40">
        <f t="shared" si="26"/>
        <v>415.79940875816095</v>
      </c>
      <c r="U113" s="91">
        <f t="shared" si="23"/>
        <v>6</v>
      </c>
      <c r="AL113" s="5"/>
    </row>
    <row r="114" spans="1:38" s="5" customFormat="1" ht="21.75" customHeight="1" x14ac:dyDescent="0.25">
      <c r="A114" s="149"/>
      <c r="B114" s="150"/>
      <c r="C114" s="139"/>
      <c r="D114" s="151"/>
      <c r="E114" s="152"/>
      <c r="F114" s="152"/>
      <c r="G114" s="105"/>
      <c r="H114" s="105"/>
      <c r="I114" s="153"/>
      <c r="J114" s="151"/>
      <c r="K114" s="107"/>
      <c r="L114" s="107"/>
      <c r="M114" s="107"/>
      <c r="N114" s="107"/>
      <c r="O114" s="107"/>
      <c r="P114" s="108"/>
      <c r="R114" s="40" t="str">
        <f t="shared" si="24"/>
        <v/>
      </c>
      <c r="S114" s="40" t="str">
        <f t="shared" si="25"/>
        <v/>
      </c>
      <c r="T114" s="40" t="str">
        <f t="shared" si="26"/>
        <v/>
      </c>
      <c r="U114" s="91">
        <f t="shared" si="23"/>
        <v>6</v>
      </c>
    </row>
    <row r="115" spans="1:38" ht="15.75" customHeight="1" x14ac:dyDescent="0.25">
      <c r="A115" s="132"/>
      <c r="B115" s="68"/>
      <c r="C115" s="69">
        <v>3</v>
      </c>
      <c r="D115" s="133" t="s">
        <v>182</v>
      </c>
      <c r="E115" s="134"/>
      <c r="F115" s="134"/>
      <c r="G115" s="135"/>
      <c r="H115" s="135"/>
      <c r="I115" s="133"/>
      <c r="J115" s="133"/>
      <c r="K115" s="133"/>
      <c r="L115" s="133"/>
      <c r="M115" s="133"/>
      <c r="N115" s="133"/>
      <c r="O115" s="133"/>
      <c r="P115" s="74">
        <f>SUM(P116:P136)</f>
        <v>37366.374523504914</v>
      </c>
      <c r="R115" s="40" t="str">
        <f t="shared" si="24"/>
        <v/>
      </c>
      <c r="S115" s="40" t="str">
        <f t="shared" si="25"/>
        <v/>
      </c>
      <c r="T115" s="40" t="str">
        <f t="shared" si="26"/>
        <v/>
      </c>
      <c r="U115" s="91">
        <f t="shared" si="23"/>
        <v>6</v>
      </c>
      <c r="AL115" s="5"/>
    </row>
    <row r="116" spans="1:38" ht="45" customHeight="1" x14ac:dyDescent="0.25">
      <c r="A116" s="83" t="s">
        <v>183</v>
      </c>
      <c r="B116" s="148"/>
      <c r="C116" s="85" t="s">
        <v>43</v>
      </c>
      <c r="D116" s="86" t="s">
        <v>44</v>
      </c>
      <c r="E116" s="87" t="s">
        <v>45</v>
      </c>
      <c r="F116" s="87"/>
      <c r="G116" s="88"/>
      <c r="H116" s="124">
        <v>300</v>
      </c>
      <c r="I116" s="89">
        <f>ROUND(SUM(I117:I119),2)</f>
        <v>3.66</v>
      </c>
      <c r="J116" s="89">
        <f>ROUND(SUM(J117:J119),2)</f>
        <v>7.05</v>
      </c>
      <c r="K116" s="89">
        <f t="shared" ref="K116:K138" si="28">I116+J116</f>
        <v>10.71</v>
      </c>
      <c r="L116" s="89">
        <f>H116*I116</f>
        <v>1098</v>
      </c>
      <c r="M116" s="89">
        <f>H116*J116</f>
        <v>2115</v>
      </c>
      <c r="N116" s="89">
        <f>L116+M116</f>
        <v>3213</v>
      </c>
      <c r="O116" s="89">
        <f>N116*$O$3</f>
        <v>652.63512829852732</v>
      </c>
      <c r="P116" s="90">
        <f>N116+O116</f>
        <v>3865.6351282985274</v>
      </c>
      <c r="R116" s="40" t="str">
        <f t="shared" si="24"/>
        <v/>
      </c>
      <c r="S116" s="40" t="str">
        <f t="shared" si="25"/>
        <v/>
      </c>
      <c r="T116" s="40" t="str">
        <f t="shared" si="26"/>
        <v/>
      </c>
      <c r="U116" s="91">
        <f t="shared" si="23"/>
        <v>300</v>
      </c>
      <c r="AL116" s="5"/>
    </row>
    <row r="117" spans="1:38" ht="24.75" customHeight="1" x14ac:dyDescent="0.25">
      <c r="A117" s="100" t="s">
        <v>64</v>
      </c>
      <c r="B117" s="101">
        <v>88247</v>
      </c>
      <c r="C117" s="102"/>
      <c r="D117" s="103" t="s">
        <v>95</v>
      </c>
      <c r="E117" s="104" t="s">
        <v>27</v>
      </c>
      <c r="F117" s="104">
        <v>0.11</v>
      </c>
      <c r="G117" s="105">
        <v>28.93</v>
      </c>
      <c r="H117" s="105"/>
      <c r="I117" s="106"/>
      <c r="J117" s="103">
        <f>ROUNDDOWN(F117*G117,2)</f>
        <v>3.18</v>
      </c>
      <c r="K117" s="103">
        <f t="shared" si="28"/>
        <v>3.18</v>
      </c>
      <c r="L117" s="107"/>
      <c r="M117" s="107"/>
      <c r="N117" s="107"/>
      <c r="O117" s="107"/>
      <c r="P117" s="108"/>
      <c r="R117" s="40">
        <f t="shared" si="24"/>
        <v>1147.7796179261734</v>
      </c>
      <c r="S117" s="40" t="str">
        <f t="shared" si="25"/>
        <v/>
      </c>
      <c r="T117" s="40" t="str">
        <f t="shared" si="26"/>
        <v/>
      </c>
      <c r="U117" s="91">
        <f t="shared" si="23"/>
        <v>300</v>
      </c>
      <c r="AL117" s="5"/>
    </row>
    <row r="118" spans="1:38" ht="24.75" customHeight="1" x14ac:dyDescent="0.25">
      <c r="A118" s="100" t="s">
        <v>64</v>
      </c>
      <c r="B118" s="101">
        <v>88264</v>
      </c>
      <c r="C118" s="102"/>
      <c r="D118" s="103" t="s">
        <v>184</v>
      </c>
      <c r="E118" s="104" t="s">
        <v>27</v>
      </c>
      <c r="F118" s="104">
        <v>0.11</v>
      </c>
      <c r="G118" s="105">
        <v>35.200000000000003</v>
      </c>
      <c r="H118" s="105"/>
      <c r="I118" s="106"/>
      <c r="J118" s="103">
        <f>ROUNDDOWN(F118*G118,2)</f>
        <v>3.87</v>
      </c>
      <c r="K118" s="103">
        <f t="shared" si="28"/>
        <v>3.87</v>
      </c>
      <c r="L118" s="107"/>
      <c r="M118" s="107"/>
      <c r="N118" s="107"/>
      <c r="O118" s="107"/>
      <c r="P118" s="108"/>
      <c r="R118" s="40">
        <f t="shared" si="24"/>
        <v>1396.8261387969469</v>
      </c>
      <c r="S118" s="40" t="str">
        <f t="shared" si="25"/>
        <v/>
      </c>
      <c r="T118" s="40" t="str">
        <f t="shared" si="26"/>
        <v/>
      </c>
      <c r="U118" s="91">
        <f t="shared" si="23"/>
        <v>300</v>
      </c>
      <c r="AL118" s="5"/>
    </row>
    <row r="119" spans="1:38" ht="24.75" customHeight="1" x14ac:dyDescent="0.25">
      <c r="A119" s="100" t="s">
        <v>64</v>
      </c>
      <c r="B119" s="101">
        <v>981</v>
      </c>
      <c r="C119" s="102"/>
      <c r="D119" s="103" t="s">
        <v>106</v>
      </c>
      <c r="E119" s="104" t="s">
        <v>45</v>
      </c>
      <c r="F119" s="104">
        <v>1.02</v>
      </c>
      <c r="G119" s="105">
        <v>3.59</v>
      </c>
      <c r="H119" s="105"/>
      <c r="I119" s="106">
        <f>ROUNDDOWN(F119*G119,2)</f>
        <v>3.66</v>
      </c>
      <c r="J119" s="103"/>
      <c r="K119" s="103">
        <f t="shared" si="28"/>
        <v>3.66</v>
      </c>
      <c r="L119" s="107"/>
      <c r="M119" s="107"/>
      <c r="N119" s="107"/>
      <c r="O119" s="107"/>
      <c r="P119" s="108"/>
      <c r="R119" s="40">
        <f t="shared" si="24"/>
        <v>1321.0293715754071</v>
      </c>
      <c r="S119" s="40" t="str">
        <f t="shared" si="25"/>
        <v/>
      </c>
      <c r="T119" s="40" t="str">
        <f t="shared" si="26"/>
        <v/>
      </c>
      <c r="U119" s="91">
        <f t="shared" si="23"/>
        <v>300</v>
      </c>
      <c r="AL119" s="5"/>
    </row>
    <row r="120" spans="1:38" ht="39" customHeight="1" x14ac:dyDescent="0.25">
      <c r="A120" s="83" t="s">
        <v>183</v>
      </c>
      <c r="B120" s="148"/>
      <c r="C120" s="85" t="s">
        <v>36</v>
      </c>
      <c r="D120" s="86" t="s">
        <v>37</v>
      </c>
      <c r="E120" s="87"/>
      <c r="F120" s="87"/>
      <c r="G120" s="88"/>
      <c r="H120" s="124">
        <v>300</v>
      </c>
      <c r="I120" s="89">
        <f>ROUND(SUM(I121:I123),2)</f>
        <v>10.52</v>
      </c>
      <c r="J120" s="89">
        <f>ROUND(SUM(J121:J123),2)</f>
        <v>8.33</v>
      </c>
      <c r="K120" s="89">
        <f t="shared" si="28"/>
        <v>18.850000000000001</v>
      </c>
      <c r="L120" s="89">
        <f>H120*I120</f>
        <v>3156</v>
      </c>
      <c r="M120" s="89">
        <f>H120*J120</f>
        <v>2499</v>
      </c>
      <c r="N120" s="89">
        <f>L120+M120</f>
        <v>5655</v>
      </c>
      <c r="O120" s="89">
        <f>N120*$O$3</f>
        <v>1148.6622006001157</v>
      </c>
      <c r="P120" s="90">
        <f>N120+O120</f>
        <v>6803.6622006001162</v>
      </c>
      <c r="R120" s="40" t="str">
        <f t="shared" si="24"/>
        <v/>
      </c>
      <c r="S120" s="40" t="str">
        <f t="shared" si="25"/>
        <v/>
      </c>
      <c r="T120" s="40" t="str">
        <f t="shared" si="26"/>
        <v/>
      </c>
      <c r="U120" s="91">
        <f t="shared" si="23"/>
        <v>300</v>
      </c>
      <c r="AL120" s="5"/>
    </row>
    <row r="121" spans="1:38" ht="24.75" customHeight="1" x14ac:dyDescent="0.25">
      <c r="A121" s="100" t="s">
        <v>64</v>
      </c>
      <c r="B121" s="101">
        <v>88247</v>
      </c>
      <c r="C121" s="102"/>
      <c r="D121" s="103" t="s">
        <v>95</v>
      </c>
      <c r="E121" s="104" t="s">
        <v>27</v>
      </c>
      <c r="F121" s="104">
        <v>0.13</v>
      </c>
      <c r="G121" s="105">
        <v>28.93</v>
      </c>
      <c r="H121" s="105"/>
      <c r="I121" s="106">
        <f>SUM(I123)</f>
        <v>5.26</v>
      </c>
      <c r="J121" s="103">
        <f>ROUNDDOWN(F121*G121,2)</f>
        <v>3.76</v>
      </c>
      <c r="K121" s="103">
        <f t="shared" si="28"/>
        <v>9.02</v>
      </c>
      <c r="L121" s="107"/>
      <c r="M121" s="107"/>
      <c r="N121" s="107"/>
      <c r="O121" s="107"/>
      <c r="P121" s="108"/>
      <c r="R121" s="40">
        <f t="shared" si="24"/>
        <v>3255.651620658517</v>
      </c>
      <c r="S121" s="40" t="str">
        <f t="shared" si="25"/>
        <v/>
      </c>
      <c r="T121" s="40" t="str">
        <f t="shared" si="26"/>
        <v/>
      </c>
      <c r="U121" s="91">
        <f t="shared" si="23"/>
        <v>300</v>
      </c>
      <c r="AL121" s="5"/>
    </row>
    <row r="122" spans="1:38" ht="24.75" customHeight="1" x14ac:dyDescent="0.25">
      <c r="A122" s="100" t="s">
        <v>64</v>
      </c>
      <c r="B122" s="101">
        <v>88264</v>
      </c>
      <c r="C122" s="102"/>
      <c r="D122" s="103" t="s">
        <v>184</v>
      </c>
      <c r="E122" s="104" t="s">
        <v>27</v>
      </c>
      <c r="F122" s="104">
        <v>0.13</v>
      </c>
      <c r="G122" s="105">
        <v>35.200000000000003</v>
      </c>
      <c r="H122" s="105"/>
      <c r="I122" s="106"/>
      <c r="J122" s="103">
        <f>ROUNDDOWN(F122*G122,2)</f>
        <v>4.57</v>
      </c>
      <c r="K122" s="103">
        <f t="shared" si="28"/>
        <v>4.57</v>
      </c>
      <c r="L122" s="107"/>
      <c r="M122" s="107"/>
      <c r="N122" s="107"/>
      <c r="O122" s="107"/>
      <c r="P122" s="108"/>
      <c r="R122" s="40">
        <f t="shared" si="24"/>
        <v>1649.4820295354127</v>
      </c>
      <c r="S122" s="40" t="str">
        <f t="shared" si="25"/>
        <v/>
      </c>
      <c r="T122" s="40" t="str">
        <f t="shared" si="26"/>
        <v/>
      </c>
      <c r="U122" s="91">
        <f t="shared" si="23"/>
        <v>300</v>
      </c>
      <c r="AL122" s="5"/>
    </row>
    <row r="123" spans="1:38" ht="24.75" customHeight="1" x14ac:dyDescent="0.25">
      <c r="A123" s="100" t="s">
        <v>64</v>
      </c>
      <c r="B123" s="101">
        <v>982</v>
      </c>
      <c r="C123" s="102"/>
      <c r="D123" s="103" t="s">
        <v>37</v>
      </c>
      <c r="E123" s="104" t="s">
        <v>45</v>
      </c>
      <c r="F123" s="104">
        <v>1.02</v>
      </c>
      <c r="G123" s="105">
        <v>5.16</v>
      </c>
      <c r="H123" s="105"/>
      <c r="I123" s="106">
        <f>ROUNDDOWN(F123*G123,2)</f>
        <v>5.26</v>
      </c>
      <c r="J123" s="103"/>
      <c r="K123" s="103">
        <f t="shared" si="28"/>
        <v>5.26</v>
      </c>
      <c r="L123" s="107"/>
      <c r="M123" s="107"/>
      <c r="N123" s="107"/>
      <c r="O123" s="107"/>
      <c r="P123" s="108"/>
      <c r="R123" s="40">
        <f t="shared" si="24"/>
        <v>1898.5285504061862</v>
      </c>
      <c r="S123" s="40" t="str">
        <f t="shared" si="25"/>
        <v/>
      </c>
      <c r="T123" s="40" t="str">
        <f t="shared" si="26"/>
        <v/>
      </c>
      <c r="U123" s="91">
        <f t="shared" si="23"/>
        <v>300</v>
      </c>
      <c r="AL123" s="5"/>
    </row>
    <row r="124" spans="1:38" ht="28.5" customHeight="1" x14ac:dyDescent="0.25">
      <c r="A124" s="83"/>
      <c r="B124" s="148"/>
      <c r="C124" s="85" t="s">
        <v>38</v>
      </c>
      <c r="D124" s="86" t="s">
        <v>39</v>
      </c>
      <c r="E124" s="87"/>
      <c r="F124" s="87"/>
      <c r="G124" s="88"/>
      <c r="H124" s="124">
        <v>300</v>
      </c>
      <c r="I124" s="89">
        <f>ROUND(SUM(I125:I127),2)</f>
        <v>8.3800000000000008</v>
      </c>
      <c r="J124" s="89">
        <f>ROUND(SUM(J125:J127),2)</f>
        <v>7.05</v>
      </c>
      <c r="K124" s="89">
        <f t="shared" si="28"/>
        <v>15.43</v>
      </c>
      <c r="L124" s="89">
        <f>H124*I124</f>
        <v>2514.0000000000005</v>
      </c>
      <c r="M124" s="89">
        <f>H124*J124</f>
        <v>2115</v>
      </c>
      <c r="N124" s="89">
        <f>L124+M124</f>
        <v>4629</v>
      </c>
      <c r="O124" s="89">
        <f>N124*$O$3</f>
        <v>940.25770584932559</v>
      </c>
      <c r="P124" s="90">
        <f>N124+O124</f>
        <v>5569.2577058493252</v>
      </c>
      <c r="R124" s="40" t="str">
        <f t="shared" si="24"/>
        <v/>
      </c>
      <c r="S124" s="40" t="str">
        <f t="shared" si="25"/>
        <v/>
      </c>
      <c r="T124" s="40" t="str">
        <f t="shared" si="26"/>
        <v/>
      </c>
      <c r="U124" s="91">
        <f t="shared" si="23"/>
        <v>300</v>
      </c>
      <c r="AL124" s="5"/>
    </row>
    <row r="125" spans="1:38" ht="24.75" customHeight="1" x14ac:dyDescent="0.25">
      <c r="A125" s="100" t="s">
        <v>64</v>
      </c>
      <c r="B125" s="101">
        <v>88247</v>
      </c>
      <c r="C125" s="102"/>
      <c r="D125" s="103" t="s">
        <v>95</v>
      </c>
      <c r="E125" s="104" t="s">
        <v>27</v>
      </c>
      <c r="F125" s="104">
        <v>0.11</v>
      </c>
      <c r="G125" s="105">
        <v>28.93</v>
      </c>
      <c r="H125" s="105"/>
      <c r="I125" s="106"/>
      <c r="J125" s="103">
        <f>ROUNDDOWN(F125*G125,2)</f>
        <v>3.18</v>
      </c>
      <c r="K125" s="103">
        <f t="shared" si="28"/>
        <v>3.18</v>
      </c>
      <c r="L125" s="107"/>
      <c r="M125" s="107"/>
      <c r="N125" s="107"/>
      <c r="O125" s="107"/>
      <c r="P125" s="108"/>
      <c r="R125" s="40">
        <f t="shared" si="24"/>
        <v>1147.7796179261734</v>
      </c>
      <c r="S125" s="40" t="str">
        <f t="shared" si="25"/>
        <v/>
      </c>
      <c r="T125" s="40" t="str">
        <f t="shared" si="26"/>
        <v/>
      </c>
      <c r="U125" s="91">
        <f t="shared" si="23"/>
        <v>300</v>
      </c>
      <c r="AL125" s="5"/>
    </row>
    <row r="126" spans="1:38" ht="24.75" customHeight="1" x14ac:dyDescent="0.25">
      <c r="A126" s="100" t="s">
        <v>64</v>
      </c>
      <c r="B126" s="101">
        <v>88264</v>
      </c>
      <c r="C126" s="102"/>
      <c r="D126" s="103" t="s">
        <v>184</v>
      </c>
      <c r="E126" s="104" t="s">
        <v>27</v>
      </c>
      <c r="F126" s="104">
        <v>0.11</v>
      </c>
      <c r="G126" s="105">
        <v>35.200000000000003</v>
      </c>
      <c r="H126" s="105"/>
      <c r="I126" s="106"/>
      <c r="J126" s="103">
        <f>ROUNDDOWN(F126*G126,2)</f>
        <v>3.87</v>
      </c>
      <c r="K126" s="103">
        <f t="shared" si="28"/>
        <v>3.87</v>
      </c>
      <c r="L126" s="107"/>
      <c r="M126" s="107"/>
      <c r="N126" s="107"/>
      <c r="O126" s="107"/>
      <c r="P126" s="108"/>
      <c r="R126" s="40">
        <f t="shared" si="24"/>
        <v>1396.8261387969469</v>
      </c>
      <c r="S126" s="40" t="str">
        <f t="shared" si="25"/>
        <v/>
      </c>
      <c r="T126" s="40" t="str">
        <f t="shared" si="26"/>
        <v/>
      </c>
      <c r="U126" s="91">
        <f t="shared" si="23"/>
        <v>300</v>
      </c>
      <c r="AL126" s="5"/>
    </row>
    <row r="127" spans="1:38" ht="24.75" customHeight="1" x14ac:dyDescent="0.25">
      <c r="A127" s="100" t="s">
        <v>64</v>
      </c>
      <c r="B127" s="101">
        <v>39258</v>
      </c>
      <c r="C127" s="102"/>
      <c r="D127" s="103" t="str">
        <f>D124</f>
        <v>Cabo PP 3 condutores 1,5mm²</v>
      </c>
      <c r="E127" s="104" t="s">
        <v>45</v>
      </c>
      <c r="F127" s="104">
        <v>1.02</v>
      </c>
      <c r="G127" s="105">
        <v>8.2200000000000006</v>
      </c>
      <c r="H127" s="105"/>
      <c r="I127" s="106">
        <f>ROUNDDOWN(F127*G127,2)</f>
        <v>8.3800000000000008</v>
      </c>
      <c r="J127" s="103"/>
      <c r="K127" s="103">
        <f t="shared" si="28"/>
        <v>8.3800000000000008</v>
      </c>
      <c r="L127" s="107"/>
      <c r="M127" s="107"/>
      <c r="N127" s="107"/>
      <c r="O127" s="107"/>
      <c r="P127" s="108"/>
      <c r="R127" s="40">
        <f t="shared" si="24"/>
        <v>3024.6519491262061</v>
      </c>
      <c r="S127" s="40" t="str">
        <f t="shared" si="25"/>
        <v/>
      </c>
      <c r="T127" s="40" t="str">
        <f t="shared" si="26"/>
        <v/>
      </c>
      <c r="U127" s="91">
        <f t="shared" si="23"/>
        <v>300</v>
      </c>
      <c r="AL127" s="5"/>
    </row>
    <row r="128" spans="1:38" ht="42" customHeight="1" x14ac:dyDescent="0.25">
      <c r="A128" s="83"/>
      <c r="B128" s="148"/>
      <c r="C128" s="85" t="s">
        <v>34</v>
      </c>
      <c r="D128" s="154" t="s">
        <v>35</v>
      </c>
      <c r="E128" s="87"/>
      <c r="F128" s="87"/>
      <c r="G128" s="88"/>
      <c r="H128" s="124">
        <v>300</v>
      </c>
      <c r="I128" s="89">
        <f>ROUND(SUM(I129:I131),2)</f>
        <v>13.77</v>
      </c>
      <c r="J128" s="89">
        <f>ROUND(SUM(J129:J131),2)</f>
        <v>7.05</v>
      </c>
      <c r="K128" s="89">
        <f t="shared" si="28"/>
        <v>20.82</v>
      </c>
      <c r="L128" s="89">
        <f>H128*I128</f>
        <v>4131</v>
      </c>
      <c r="M128" s="89">
        <f>H128*J128</f>
        <v>2115</v>
      </c>
      <c r="N128" s="89">
        <f>L128+M128</f>
        <v>6246</v>
      </c>
      <c r="O128" s="89">
        <f>N128*$O$3</f>
        <v>1268.7080645355124</v>
      </c>
      <c r="P128" s="90">
        <f>N128+O128</f>
        <v>7514.7080645355127</v>
      </c>
      <c r="R128" s="40" t="str">
        <f t="shared" si="24"/>
        <v/>
      </c>
      <c r="S128" s="40" t="str">
        <f t="shared" si="25"/>
        <v/>
      </c>
      <c r="T128" s="40" t="str">
        <f t="shared" si="26"/>
        <v/>
      </c>
      <c r="U128" s="91">
        <f t="shared" si="23"/>
        <v>300</v>
      </c>
      <c r="AL128" s="5"/>
    </row>
    <row r="129" spans="1:38" ht="24.75" customHeight="1" x14ac:dyDescent="0.25">
      <c r="A129" s="100" t="s">
        <v>64</v>
      </c>
      <c r="B129" s="101">
        <v>88247</v>
      </c>
      <c r="C129" s="102"/>
      <c r="D129" s="103" t="s">
        <v>95</v>
      </c>
      <c r="E129" s="104" t="s">
        <v>27</v>
      </c>
      <c r="F129" s="104">
        <v>0.11</v>
      </c>
      <c r="G129" s="105">
        <v>28.93</v>
      </c>
      <c r="H129" s="105"/>
      <c r="I129" s="106"/>
      <c r="J129" s="103">
        <f>ROUNDDOWN(F129*G129,2)</f>
        <v>3.18</v>
      </c>
      <c r="K129" s="103">
        <f t="shared" si="28"/>
        <v>3.18</v>
      </c>
      <c r="L129" s="107"/>
      <c r="M129" s="107"/>
      <c r="N129" s="107"/>
      <c r="O129" s="107"/>
      <c r="P129" s="108"/>
      <c r="R129" s="40">
        <f t="shared" si="24"/>
        <v>1147.7796179261734</v>
      </c>
      <c r="S129" s="40" t="str">
        <f t="shared" si="25"/>
        <v/>
      </c>
      <c r="T129" s="40" t="str">
        <f t="shared" si="26"/>
        <v/>
      </c>
      <c r="U129" s="91">
        <f t="shared" si="23"/>
        <v>300</v>
      </c>
      <c r="AL129" s="5"/>
    </row>
    <row r="130" spans="1:38" ht="24.75" customHeight="1" x14ac:dyDescent="0.25">
      <c r="A130" s="100" t="s">
        <v>64</v>
      </c>
      <c r="B130" s="101">
        <v>88264</v>
      </c>
      <c r="C130" s="102"/>
      <c r="D130" s="103" t="s">
        <v>184</v>
      </c>
      <c r="E130" s="104" t="s">
        <v>27</v>
      </c>
      <c r="F130" s="104">
        <v>0.11</v>
      </c>
      <c r="G130" s="105">
        <v>35.200000000000003</v>
      </c>
      <c r="H130" s="105"/>
      <c r="I130" s="106"/>
      <c r="J130" s="103">
        <f>ROUNDDOWN(F130*G130,2)</f>
        <v>3.87</v>
      </c>
      <c r="K130" s="103">
        <f t="shared" si="28"/>
        <v>3.87</v>
      </c>
      <c r="L130" s="107"/>
      <c r="M130" s="107"/>
      <c r="N130" s="107"/>
      <c r="O130" s="107"/>
      <c r="P130" s="108"/>
      <c r="R130" s="40">
        <f t="shared" si="24"/>
        <v>1396.8261387969469</v>
      </c>
      <c r="S130" s="40" t="str">
        <f t="shared" si="25"/>
        <v/>
      </c>
      <c r="T130" s="40" t="str">
        <f t="shared" si="26"/>
        <v/>
      </c>
      <c r="U130" s="91">
        <f t="shared" si="23"/>
        <v>300</v>
      </c>
      <c r="AL130" s="5"/>
    </row>
    <row r="131" spans="1:38" ht="24.75" customHeight="1" x14ac:dyDescent="0.25">
      <c r="A131" s="100" t="s">
        <v>64</v>
      </c>
      <c r="B131" s="101">
        <v>34621</v>
      </c>
      <c r="C131" s="102"/>
      <c r="D131" s="103" t="str">
        <f>D128</f>
        <v>Cabo PP 3 condutores 4 mm²</v>
      </c>
      <c r="E131" s="104" t="s">
        <v>45</v>
      </c>
      <c r="F131" s="104">
        <v>1.02</v>
      </c>
      <c r="G131" s="105">
        <v>13.5</v>
      </c>
      <c r="H131" s="105"/>
      <c r="I131" s="106">
        <f>ROUNDDOWN(F131*G131,2)</f>
        <v>13.77</v>
      </c>
      <c r="J131" s="103"/>
      <c r="K131" s="103">
        <f t="shared" si="28"/>
        <v>13.77</v>
      </c>
      <c r="L131" s="107"/>
      <c r="M131" s="107"/>
      <c r="N131" s="107"/>
      <c r="O131" s="107"/>
      <c r="P131" s="108"/>
      <c r="R131" s="40">
        <f t="shared" si="24"/>
        <v>4970.1023078123926</v>
      </c>
      <c r="S131" s="40" t="str">
        <f t="shared" si="25"/>
        <v/>
      </c>
      <c r="T131" s="40" t="str">
        <f t="shared" si="26"/>
        <v/>
      </c>
      <c r="U131" s="91">
        <f t="shared" si="23"/>
        <v>300</v>
      </c>
      <c r="AL131" s="5"/>
    </row>
    <row r="132" spans="1:38" ht="47.25" customHeight="1" x14ac:dyDescent="0.25">
      <c r="A132" s="83" t="s">
        <v>183</v>
      </c>
      <c r="B132" s="148">
        <v>93655</v>
      </c>
      <c r="C132" s="85" t="s">
        <v>57</v>
      </c>
      <c r="D132" s="86" t="s">
        <v>58</v>
      </c>
      <c r="E132" s="87" t="s">
        <v>59</v>
      </c>
      <c r="F132" s="87"/>
      <c r="G132" s="88"/>
      <c r="H132" s="124">
        <v>5</v>
      </c>
      <c r="I132" s="89">
        <f>ROUND(SUM(I133:I135),2)</f>
        <v>52.67</v>
      </c>
      <c r="J132" s="89">
        <f>ROUND(SUM(J133:J135),2)</f>
        <v>4.22</v>
      </c>
      <c r="K132" s="89">
        <f t="shared" si="28"/>
        <v>56.89</v>
      </c>
      <c r="L132" s="89">
        <f>H132*I132</f>
        <v>263.35000000000002</v>
      </c>
      <c r="M132" s="89">
        <f>H132*J132</f>
        <v>21.099999999999998</v>
      </c>
      <c r="N132" s="89">
        <f>L132+M132</f>
        <v>284.45000000000005</v>
      </c>
      <c r="O132" s="89">
        <f>N132*$O$3</f>
        <v>57.778419621698141</v>
      </c>
      <c r="P132" s="90">
        <f>N132+O132</f>
        <v>342.22841962169821</v>
      </c>
      <c r="R132" s="40" t="str">
        <f t="shared" si="24"/>
        <v/>
      </c>
      <c r="S132" s="40" t="str">
        <f t="shared" si="25"/>
        <v/>
      </c>
      <c r="T132" s="40" t="str">
        <f t="shared" si="26"/>
        <v/>
      </c>
      <c r="U132" s="91">
        <f t="shared" si="23"/>
        <v>5</v>
      </c>
      <c r="AL132" s="5"/>
    </row>
    <row r="133" spans="1:38" ht="24.75" customHeight="1" x14ac:dyDescent="0.25">
      <c r="A133" s="100" t="s">
        <v>64</v>
      </c>
      <c r="B133" s="101">
        <v>88247</v>
      </c>
      <c r="C133" s="102"/>
      <c r="D133" s="103" t="s">
        <v>95</v>
      </c>
      <c r="E133" s="104" t="s">
        <v>27</v>
      </c>
      <c r="F133" s="104">
        <v>6.6000000000000003E-2</v>
      </c>
      <c r="G133" s="105">
        <v>28.93</v>
      </c>
      <c r="H133" s="105"/>
      <c r="I133" s="106"/>
      <c r="J133" s="103">
        <f>ROUNDDOWN(F133*G133,2)</f>
        <v>1.9</v>
      </c>
      <c r="K133" s="103">
        <f t="shared" si="28"/>
        <v>1.9</v>
      </c>
      <c r="L133" s="107"/>
      <c r="M133" s="107"/>
      <c r="N133" s="107"/>
      <c r="O133" s="107"/>
      <c r="P133" s="108"/>
      <c r="R133" s="40">
        <f t="shared" si="24"/>
        <v>11.429671247692502</v>
      </c>
      <c r="S133" s="40" t="str">
        <f t="shared" si="25"/>
        <v/>
      </c>
      <c r="T133" s="40" t="str">
        <f t="shared" si="26"/>
        <v/>
      </c>
      <c r="U133" s="91">
        <f t="shared" si="23"/>
        <v>5</v>
      </c>
      <c r="AL133" s="5"/>
    </row>
    <row r="134" spans="1:38" ht="24.75" customHeight="1" x14ac:dyDescent="0.25">
      <c r="A134" s="100" t="s">
        <v>64</v>
      </c>
      <c r="B134" s="101">
        <v>88264</v>
      </c>
      <c r="C134" s="102"/>
      <c r="D134" s="103" t="s">
        <v>184</v>
      </c>
      <c r="E134" s="104" t="s">
        <v>27</v>
      </c>
      <c r="F134" s="104">
        <v>6.6000000000000003E-2</v>
      </c>
      <c r="G134" s="105">
        <v>35.200000000000003</v>
      </c>
      <c r="H134" s="105"/>
      <c r="I134" s="106"/>
      <c r="J134" s="103">
        <f>ROUNDDOWN(F134*G134,2)</f>
        <v>2.3199999999999998</v>
      </c>
      <c r="K134" s="103">
        <f t="shared" si="28"/>
        <v>2.3199999999999998</v>
      </c>
      <c r="L134" s="107"/>
      <c r="M134" s="107"/>
      <c r="N134" s="107"/>
      <c r="O134" s="107"/>
      <c r="P134" s="108"/>
      <c r="R134" s="40">
        <f t="shared" si="24"/>
        <v>13.95623015507716</v>
      </c>
      <c r="S134" s="40" t="str">
        <f t="shared" si="25"/>
        <v/>
      </c>
      <c r="T134" s="40" t="str">
        <f t="shared" si="26"/>
        <v/>
      </c>
      <c r="U134" s="91">
        <f t="shared" si="23"/>
        <v>5</v>
      </c>
      <c r="AL134" s="5"/>
    </row>
    <row r="135" spans="1:38" ht="45.75" customHeight="1" x14ac:dyDescent="0.25">
      <c r="A135" s="100" t="s">
        <v>64</v>
      </c>
      <c r="B135" s="121">
        <v>34616</v>
      </c>
      <c r="C135" s="102"/>
      <c r="D135" s="155" t="str">
        <f>D132</f>
        <v>Mini Disjuntor Bipolar 6 até 32A,norma DIN/IEC ou NEMA -  tipo de curva característica: C</v>
      </c>
      <c r="E135" s="104" t="s">
        <v>59</v>
      </c>
      <c r="F135" s="104">
        <v>1</v>
      </c>
      <c r="G135" s="105">
        <v>52.67</v>
      </c>
      <c r="H135" s="105"/>
      <c r="I135" s="106">
        <f>ROUNDDOWN(F135*G135,2)</f>
        <v>52.67</v>
      </c>
      <c r="J135" s="103"/>
      <c r="K135" s="103">
        <f t="shared" si="28"/>
        <v>52.67</v>
      </c>
      <c r="L135" s="107"/>
      <c r="M135" s="107"/>
      <c r="N135" s="107"/>
      <c r="O135" s="107"/>
      <c r="P135" s="108"/>
      <c r="R135" s="40">
        <f t="shared" si="24"/>
        <v>316.84251821892849</v>
      </c>
      <c r="S135" s="40" t="str">
        <f t="shared" si="25"/>
        <v/>
      </c>
      <c r="T135" s="40" t="str">
        <f t="shared" si="26"/>
        <v/>
      </c>
      <c r="U135" s="91">
        <f t="shared" si="23"/>
        <v>5</v>
      </c>
      <c r="AL135" s="5"/>
    </row>
    <row r="136" spans="1:38" ht="195" x14ac:dyDescent="0.25">
      <c r="A136" s="83" t="s">
        <v>183</v>
      </c>
      <c r="B136" s="148"/>
      <c r="C136" s="85" t="s">
        <v>20</v>
      </c>
      <c r="D136" s="86" t="s">
        <v>21</v>
      </c>
      <c r="E136" s="87" t="s">
        <v>22</v>
      </c>
      <c r="F136" s="87"/>
      <c r="G136" s="88"/>
      <c r="H136" s="124">
        <f>H51/4</f>
        <v>21.5</v>
      </c>
      <c r="I136" s="89">
        <f>ROUND(SUM(I137:I138),2)</f>
        <v>0</v>
      </c>
      <c r="J136" s="89">
        <f>ROUND(SUM(J137:J138),2)</f>
        <v>513.04</v>
      </c>
      <c r="K136" s="89">
        <f t="shared" si="28"/>
        <v>513.04</v>
      </c>
      <c r="L136" s="89">
        <f>H136*I136</f>
        <v>0</v>
      </c>
      <c r="M136" s="89">
        <f>H136*J136</f>
        <v>11030.359999999999</v>
      </c>
      <c r="N136" s="89">
        <f>L136+M136</f>
        <v>11030.359999999999</v>
      </c>
      <c r="O136" s="89">
        <f>N136*$O$3</f>
        <v>2240.5230045997332</v>
      </c>
      <c r="P136" s="90">
        <f>N136+O136</f>
        <v>13270.883004599731</v>
      </c>
      <c r="R136" s="40" t="str">
        <f t="shared" si="24"/>
        <v/>
      </c>
      <c r="S136" s="40" t="str">
        <f t="shared" si="25"/>
        <v/>
      </c>
      <c r="T136" s="40" t="str">
        <f t="shared" si="26"/>
        <v/>
      </c>
      <c r="U136" s="91">
        <f t="shared" si="23"/>
        <v>21.5</v>
      </c>
      <c r="AL136" s="5"/>
    </row>
    <row r="137" spans="1:38" ht="24.75" customHeight="1" x14ac:dyDescent="0.25">
      <c r="A137" s="100" t="s">
        <v>64</v>
      </c>
      <c r="B137" s="101">
        <v>6111</v>
      </c>
      <c r="C137" s="102"/>
      <c r="D137" s="103" t="s">
        <v>95</v>
      </c>
      <c r="E137" s="104" t="s">
        <v>96</v>
      </c>
      <c r="F137" s="104">
        <v>8</v>
      </c>
      <c r="G137" s="105">
        <v>28.93</v>
      </c>
      <c r="H137" s="105"/>
      <c r="I137" s="106"/>
      <c r="J137" s="103">
        <f>ROUNDDOWN(F137*G137,2)</f>
        <v>231.44</v>
      </c>
      <c r="K137" s="103">
        <f t="shared" si="28"/>
        <v>231.44</v>
      </c>
      <c r="L137" s="107"/>
      <c r="M137" s="107"/>
      <c r="N137" s="107"/>
      <c r="O137" s="107"/>
      <c r="P137" s="108"/>
      <c r="R137" s="40">
        <f t="shared" si="24"/>
        <v>5986.6933622808401</v>
      </c>
      <c r="S137" s="40" t="str">
        <f t="shared" si="25"/>
        <v/>
      </c>
      <c r="T137" s="40" t="str">
        <f t="shared" si="26"/>
        <v/>
      </c>
      <c r="U137" s="91">
        <f t="shared" si="23"/>
        <v>21.5</v>
      </c>
      <c r="AL137" s="5"/>
    </row>
    <row r="138" spans="1:38" ht="24.75" customHeight="1" x14ac:dyDescent="0.25">
      <c r="A138" s="100" t="s">
        <v>64</v>
      </c>
      <c r="B138" s="101">
        <v>88264</v>
      </c>
      <c r="C138" s="102"/>
      <c r="D138" s="103" t="s">
        <v>184</v>
      </c>
      <c r="E138" s="104" t="s">
        <v>96</v>
      </c>
      <c r="F138" s="104">
        <v>8</v>
      </c>
      <c r="G138" s="105">
        <v>35.200000000000003</v>
      </c>
      <c r="H138" s="105"/>
      <c r="I138" s="106"/>
      <c r="J138" s="103">
        <f>ROUNDDOWN(F138*G138,2)</f>
        <v>281.60000000000002</v>
      </c>
      <c r="K138" s="103">
        <f t="shared" si="28"/>
        <v>281.60000000000002</v>
      </c>
      <c r="L138" s="107"/>
      <c r="M138" s="107"/>
      <c r="N138" s="107"/>
      <c r="O138" s="107"/>
      <c r="P138" s="108"/>
      <c r="R138" s="40">
        <f t="shared" si="24"/>
        <v>7284.1896423188937</v>
      </c>
      <c r="S138" s="40" t="str">
        <f t="shared" si="25"/>
        <v/>
      </c>
      <c r="T138" s="40" t="str">
        <f t="shared" si="26"/>
        <v/>
      </c>
      <c r="U138" s="91">
        <f t="shared" si="23"/>
        <v>21.5</v>
      </c>
      <c r="AL138" s="5"/>
    </row>
    <row r="139" spans="1:38" s="161" customFormat="1" ht="48.75" customHeight="1" x14ac:dyDescent="0.25">
      <c r="A139" s="156"/>
      <c r="B139" s="157"/>
      <c r="C139" s="158"/>
      <c r="D139" s="157"/>
      <c r="E139" s="157"/>
      <c r="F139" s="157"/>
      <c r="G139" s="157"/>
      <c r="H139" s="157"/>
      <c r="I139" s="157"/>
      <c r="J139" s="157"/>
      <c r="K139" s="157"/>
      <c r="L139" s="159">
        <f>SUM(L13:L138)</f>
        <v>220021.28433333337</v>
      </c>
      <c r="M139" s="159">
        <f>SUM(M13:M138)</f>
        <v>172109.80130000002</v>
      </c>
      <c r="N139" s="159">
        <f>SUM(N13:N138)</f>
        <v>392131.08563333331</v>
      </c>
      <c r="O139" s="159">
        <f>SUM(O13:O138)</f>
        <v>79650.955923483125</v>
      </c>
      <c r="P139" s="160">
        <f>SUM(P11:P136)/2</f>
        <v>471782.04155681649</v>
      </c>
      <c r="R139" s="40">
        <f>SUM(R11:R138)</f>
        <v>417250.83419588319</v>
      </c>
      <c r="S139" s="40">
        <f>SUM(S11:S138)</f>
        <v>12205.795253465683</v>
      </c>
      <c r="T139" s="40">
        <f>SUM(T11:T138)</f>
        <v>42325.412107467346</v>
      </c>
      <c r="U139" s="91">
        <f t="shared" si="23"/>
        <v>21.5</v>
      </c>
    </row>
    <row r="140" spans="1:38" x14ac:dyDescent="0.25">
      <c r="AL140" s="5"/>
    </row>
    <row r="142" spans="1:38" x14ac:dyDescent="0.25">
      <c r="P142" s="162"/>
    </row>
  </sheetData>
  <mergeCells count="22">
    <mergeCell ref="T8:T9"/>
    <mergeCell ref="L8:N8"/>
    <mergeCell ref="O8:O9"/>
    <mergeCell ref="P8:P9"/>
    <mergeCell ref="R8:R9"/>
    <mergeCell ref="S8:S9"/>
    <mergeCell ref="B6:K6"/>
    <mergeCell ref="B7:C7"/>
    <mergeCell ref="A8:A9"/>
    <mergeCell ref="B8:B9"/>
    <mergeCell ref="C8:C9"/>
    <mergeCell ref="D8:D9"/>
    <mergeCell ref="E8:E9"/>
    <mergeCell ref="F8:F9"/>
    <mergeCell ref="G8:G9"/>
    <mergeCell ref="H8:H9"/>
    <mergeCell ref="I8:K8"/>
    <mergeCell ref="A1:P2"/>
    <mergeCell ref="R2:T2"/>
    <mergeCell ref="B3:D3"/>
    <mergeCell ref="B4:K4"/>
    <mergeCell ref="B5:K5"/>
  </mergeCells>
  <pageMargins left="0.51181102362204722" right="0.51181102362204722" top="0.78740157480314965" bottom="0.78740157480314965" header="0.51181102362204722" footer="0.51181102362204722"/>
  <pageSetup paperSize="9" scale="44" fitToHeight="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L64"/>
  <sheetViews>
    <sheetView tabSelected="1" zoomScaleNormal="100" workbookViewId="0">
      <selection activeCell="D6" sqref="D6"/>
    </sheetView>
  </sheetViews>
  <sheetFormatPr defaultColWidth="8.85546875" defaultRowHeight="15" x14ac:dyDescent="0.25"/>
  <cols>
    <col min="1" max="1" width="37.5703125" style="5" customWidth="1"/>
    <col min="2" max="3" width="16.140625" style="5" customWidth="1"/>
    <col min="4" max="4" width="36.42578125" style="5" customWidth="1"/>
    <col min="257" max="257" width="37.5703125" style="5" customWidth="1"/>
    <col min="258" max="259" width="16.140625" style="5" customWidth="1"/>
    <col min="260" max="260" width="36.42578125" style="5" customWidth="1"/>
    <col min="513" max="513" width="37.5703125" style="5" customWidth="1"/>
    <col min="514" max="515" width="16.140625" style="5" customWidth="1"/>
    <col min="516" max="516" width="36.42578125" style="5" customWidth="1"/>
    <col min="769" max="769" width="37.5703125" style="5" customWidth="1"/>
    <col min="770" max="771" width="16.140625" style="5" customWidth="1"/>
    <col min="772" max="772" width="36.42578125" style="5" customWidth="1"/>
    <col min="1025" max="1025" width="37.5703125" style="5" customWidth="1"/>
    <col min="1026" max="1027" width="16.140625" style="5" customWidth="1"/>
    <col min="1028" max="1028" width="36.42578125" style="5" customWidth="1"/>
    <col min="1281" max="1281" width="37.5703125" style="5" customWidth="1"/>
    <col min="1282" max="1283" width="16.140625" style="5" customWidth="1"/>
    <col min="1284" max="1284" width="36.42578125" style="5" customWidth="1"/>
    <col min="1537" max="1537" width="37.5703125" style="5" customWidth="1"/>
    <col min="1538" max="1539" width="16.140625" style="5" customWidth="1"/>
    <col min="1540" max="1540" width="36.42578125" style="5" customWidth="1"/>
    <col min="1793" max="1793" width="37.5703125" style="5" customWidth="1"/>
    <col min="1794" max="1795" width="16.140625" style="5" customWidth="1"/>
    <col min="1796" max="1796" width="36.42578125" style="5" customWidth="1"/>
    <col min="2049" max="2049" width="37.5703125" style="5" customWidth="1"/>
    <col min="2050" max="2051" width="16.140625" style="5" customWidth="1"/>
    <col min="2052" max="2052" width="36.42578125" style="5" customWidth="1"/>
    <col min="2305" max="2305" width="37.5703125" style="5" customWidth="1"/>
    <col min="2306" max="2307" width="16.140625" style="5" customWidth="1"/>
    <col min="2308" max="2308" width="36.42578125" style="5" customWidth="1"/>
    <col min="2561" max="2561" width="37.5703125" style="5" customWidth="1"/>
    <col min="2562" max="2563" width="16.140625" style="5" customWidth="1"/>
    <col min="2564" max="2564" width="36.42578125" style="5" customWidth="1"/>
    <col min="2817" max="2817" width="37.5703125" style="5" customWidth="1"/>
    <col min="2818" max="2819" width="16.140625" style="5" customWidth="1"/>
    <col min="2820" max="2820" width="36.42578125" style="5" customWidth="1"/>
    <col min="3073" max="3073" width="37.5703125" style="5" customWidth="1"/>
    <col min="3074" max="3075" width="16.140625" style="5" customWidth="1"/>
    <col min="3076" max="3076" width="36.42578125" style="5" customWidth="1"/>
    <col min="3329" max="3329" width="37.5703125" style="5" customWidth="1"/>
    <col min="3330" max="3331" width="16.140625" style="5" customWidth="1"/>
    <col min="3332" max="3332" width="36.42578125" style="5" customWidth="1"/>
    <col min="3585" max="3585" width="37.5703125" style="5" customWidth="1"/>
    <col min="3586" max="3587" width="16.140625" style="5" customWidth="1"/>
    <col min="3588" max="3588" width="36.42578125" style="5" customWidth="1"/>
    <col min="3841" max="3841" width="37.5703125" style="5" customWidth="1"/>
    <col min="3842" max="3843" width="16.140625" style="5" customWidth="1"/>
    <col min="3844" max="3844" width="36.42578125" style="5" customWidth="1"/>
    <col min="4097" max="4097" width="37.5703125" style="5" customWidth="1"/>
    <col min="4098" max="4099" width="16.140625" style="5" customWidth="1"/>
    <col min="4100" max="4100" width="36.42578125" style="5" customWidth="1"/>
    <col min="4353" max="4353" width="37.5703125" style="5" customWidth="1"/>
    <col min="4354" max="4355" width="16.140625" style="5" customWidth="1"/>
    <col min="4356" max="4356" width="36.42578125" style="5" customWidth="1"/>
    <col min="4609" max="4609" width="37.5703125" style="5" customWidth="1"/>
    <col min="4610" max="4611" width="16.140625" style="5" customWidth="1"/>
    <col min="4612" max="4612" width="36.42578125" style="5" customWidth="1"/>
    <col min="4865" max="4865" width="37.5703125" style="5" customWidth="1"/>
    <col min="4866" max="4867" width="16.140625" style="5" customWidth="1"/>
    <col min="4868" max="4868" width="36.42578125" style="5" customWidth="1"/>
    <col min="5121" max="5121" width="37.5703125" style="5" customWidth="1"/>
    <col min="5122" max="5123" width="16.140625" style="5" customWidth="1"/>
    <col min="5124" max="5124" width="36.42578125" style="5" customWidth="1"/>
    <col min="5377" max="5377" width="37.5703125" style="5" customWidth="1"/>
    <col min="5378" max="5379" width="16.140625" style="5" customWidth="1"/>
    <col min="5380" max="5380" width="36.42578125" style="5" customWidth="1"/>
    <col min="5633" max="5633" width="37.5703125" style="5" customWidth="1"/>
    <col min="5634" max="5635" width="16.140625" style="5" customWidth="1"/>
    <col min="5636" max="5636" width="36.42578125" style="5" customWidth="1"/>
    <col min="5889" max="5889" width="37.5703125" style="5" customWidth="1"/>
    <col min="5890" max="5891" width="16.140625" style="5" customWidth="1"/>
    <col min="5892" max="5892" width="36.42578125" style="5" customWidth="1"/>
    <col min="6145" max="6145" width="37.5703125" style="5" customWidth="1"/>
    <col min="6146" max="6147" width="16.140625" style="5" customWidth="1"/>
    <col min="6148" max="6148" width="36.42578125" style="5" customWidth="1"/>
    <col min="6401" max="6401" width="37.5703125" style="5" customWidth="1"/>
    <col min="6402" max="6403" width="16.140625" style="5" customWidth="1"/>
    <col min="6404" max="6404" width="36.42578125" style="5" customWidth="1"/>
    <col min="6657" max="6657" width="37.5703125" style="5" customWidth="1"/>
    <col min="6658" max="6659" width="16.140625" style="5" customWidth="1"/>
    <col min="6660" max="6660" width="36.42578125" style="5" customWidth="1"/>
    <col min="6913" max="6913" width="37.5703125" style="5" customWidth="1"/>
    <col min="6914" max="6915" width="16.140625" style="5" customWidth="1"/>
    <col min="6916" max="6916" width="36.42578125" style="5" customWidth="1"/>
    <col min="7169" max="7169" width="37.5703125" style="5" customWidth="1"/>
    <col min="7170" max="7171" width="16.140625" style="5" customWidth="1"/>
    <col min="7172" max="7172" width="36.42578125" style="5" customWidth="1"/>
    <col min="7425" max="7425" width="37.5703125" style="5" customWidth="1"/>
    <col min="7426" max="7427" width="16.140625" style="5" customWidth="1"/>
    <col min="7428" max="7428" width="36.42578125" style="5" customWidth="1"/>
    <col min="7681" max="7681" width="37.5703125" style="5" customWidth="1"/>
    <col min="7682" max="7683" width="16.140625" style="5" customWidth="1"/>
    <col min="7684" max="7684" width="36.42578125" style="5" customWidth="1"/>
    <col min="7937" max="7937" width="37.5703125" style="5" customWidth="1"/>
    <col min="7938" max="7939" width="16.140625" style="5" customWidth="1"/>
    <col min="7940" max="7940" width="36.42578125" style="5" customWidth="1"/>
    <col min="8193" max="8193" width="37.5703125" style="5" customWidth="1"/>
    <col min="8194" max="8195" width="16.140625" style="5" customWidth="1"/>
    <col min="8196" max="8196" width="36.42578125" style="5" customWidth="1"/>
    <col min="8449" max="8449" width="37.5703125" style="5" customWidth="1"/>
    <col min="8450" max="8451" width="16.140625" style="5" customWidth="1"/>
    <col min="8452" max="8452" width="36.42578125" style="5" customWidth="1"/>
    <col min="8705" max="8705" width="37.5703125" style="5" customWidth="1"/>
    <col min="8706" max="8707" width="16.140625" style="5" customWidth="1"/>
    <col min="8708" max="8708" width="36.42578125" style="5" customWidth="1"/>
    <col min="8961" max="8961" width="37.5703125" style="5" customWidth="1"/>
    <col min="8962" max="8963" width="16.140625" style="5" customWidth="1"/>
    <col min="8964" max="8964" width="36.42578125" style="5" customWidth="1"/>
    <col min="9217" max="9217" width="37.5703125" style="5" customWidth="1"/>
    <col min="9218" max="9219" width="16.140625" style="5" customWidth="1"/>
    <col min="9220" max="9220" width="36.42578125" style="5" customWidth="1"/>
    <col min="9473" max="9473" width="37.5703125" style="5" customWidth="1"/>
    <col min="9474" max="9475" width="16.140625" style="5" customWidth="1"/>
    <col min="9476" max="9476" width="36.42578125" style="5" customWidth="1"/>
    <col min="9729" max="9729" width="37.5703125" style="5" customWidth="1"/>
    <col min="9730" max="9731" width="16.140625" style="5" customWidth="1"/>
    <col min="9732" max="9732" width="36.42578125" style="5" customWidth="1"/>
    <col min="9985" max="9985" width="37.5703125" style="5" customWidth="1"/>
    <col min="9986" max="9987" width="16.140625" style="5" customWidth="1"/>
    <col min="9988" max="9988" width="36.42578125" style="5" customWidth="1"/>
    <col min="10241" max="10241" width="37.5703125" style="5" customWidth="1"/>
    <col min="10242" max="10243" width="16.140625" style="5" customWidth="1"/>
    <col min="10244" max="10244" width="36.42578125" style="5" customWidth="1"/>
    <col min="10497" max="10497" width="37.5703125" style="5" customWidth="1"/>
    <col min="10498" max="10499" width="16.140625" style="5" customWidth="1"/>
    <col min="10500" max="10500" width="36.42578125" style="5" customWidth="1"/>
    <col min="10753" max="10753" width="37.5703125" style="5" customWidth="1"/>
    <col min="10754" max="10755" width="16.140625" style="5" customWidth="1"/>
    <col min="10756" max="10756" width="36.42578125" style="5" customWidth="1"/>
    <col min="11009" max="11009" width="37.5703125" style="5" customWidth="1"/>
    <col min="11010" max="11011" width="16.140625" style="5" customWidth="1"/>
    <col min="11012" max="11012" width="36.42578125" style="5" customWidth="1"/>
    <col min="11265" max="11265" width="37.5703125" style="5" customWidth="1"/>
    <col min="11266" max="11267" width="16.140625" style="5" customWidth="1"/>
    <col min="11268" max="11268" width="36.42578125" style="5" customWidth="1"/>
    <col min="11521" max="11521" width="37.5703125" style="5" customWidth="1"/>
    <col min="11522" max="11523" width="16.140625" style="5" customWidth="1"/>
    <col min="11524" max="11524" width="36.42578125" style="5" customWidth="1"/>
    <col min="11777" max="11777" width="37.5703125" style="5" customWidth="1"/>
    <col min="11778" max="11779" width="16.140625" style="5" customWidth="1"/>
    <col min="11780" max="11780" width="36.42578125" style="5" customWidth="1"/>
    <col min="12033" max="12033" width="37.5703125" style="5" customWidth="1"/>
    <col min="12034" max="12035" width="16.140625" style="5" customWidth="1"/>
    <col min="12036" max="12036" width="36.42578125" style="5" customWidth="1"/>
    <col min="12289" max="12289" width="37.5703125" style="5" customWidth="1"/>
    <col min="12290" max="12291" width="16.140625" style="5" customWidth="1"/>
    <col min="12292" max="12292" width="36.42578125" style="5" customWidth="1"/>
    <col min="12545" max="12545" width="37.5703125" style="5" customWidth="1"/>
    <col min="12546" max="12547" width="16.140625" style="5" customWidth="1"/>
    <col min="12548" max="12548" width="36.42578125" style="5" customWidth="1"/>
    <col min="12801" max="12801" width="37.5703125" style="5" customWidth="1"/>
    <col min="12802" max="12803" width="16.140625" style="5" customWidth="1"/>
    <col min="12804" max="12804" width="36.42578125" style="5" customWidth="1"/>
    <col min="13057" max="13057" width="37.5703125" style="5" customWidth="1"/>
    <col min="13058" max="13059" width="16.140625" style="5" customWidth="1"/>
    <col min="13060" max="13060" width="36.42578125" style="5" customWidth="1"/>
    <col min="13313" max="13313" width="37.5703125" style="5" customWidth="1"/>
    <col min="13314" max="13315" width="16.140625" style="5" customWidth="1"/>
    <col min="13316" max="13316" width="36.42578125" style="5" customWidth="1"/>
    <col min="13569" max="13569" width="37.5703125" style="5" customWidth="1"/>
    <col min="13570" max="13571" width="16.140625" style="5" customWidth="1"/>
    <col min="13572" max="13572" width="36.42578125" style="5" customWidth="1"/>
    <col min="13825" max="13825" width="37.5703125" style="5" customWidth="1"/>
    <col min="13826" max="13827" width="16.140625" style="5" customWidth="1"/>
    <col min="13828" max="13828" width="36.42578125" style="5" customWidth="1"/>
    <col min="14081" max="14081" width="37.5703125" style="5" customWidth="1"/>
    <col min="14082" max="14083" width="16.140625" style="5" customWidth="1"/>
    <col min="14084" max="14084" width="36.42578125" style="5" customWidth="1"/>
    <col min="14337" max="14337" width="37.5703125" style="5" customWidth="1"/>
    <col min="14338" max="14339" width="16.140625" style="5" customWidth="1"/>
    <col min="14340" max="14340" width="36.42578125" style="5" customWidth="1"/>
    <col min="14593" max="14593" width="37.5703125" style="5" customWidth="1"/>
    <col min="14594" max="14595" width="16.140625" style="5" customWidth="1"/>
    <col min="14596" max="14596" width="36.42578125" style="5" customWidth="1"/>
    <col min="14849" max="14849" width="37.5703125" style="5" customWidth="1"/>
    <col min="14850" max="14851" width="16.140625" style="5" customWidth="1"/>
    <col min="14852" max="14852" width="36.42578125" style="5" customWidth="1"/>
    <col min="15105" max="15105" width="37.5703125" style="5" customWidth="1"/>
    <col min="15106" max="15107" width="16.140625" style="5" customWidth="1"/>
    <col min="15108" max="15108" width="36.42578125" style="5" customWidth="1"/>
    <col min="15361" max="15361" width="37.5703125" style="5" customWidth="1"/>
    <col min="15362" max="15363" width="16.140625" style="5" customWidth="1"/>
    <col min="15364" max="15364" width="36.42578125" style="5" customWidth="1"/>
    <col min="15617" max="15617" width="37.5703125" style="5" customWidth="1"/>
    <col min="15618" max="15619" width="16.140625" style="5" customWidth="1"/>
    <col min="15620" max="15620" width="36.42578125" style="5" customWidth="1"/>
    <col min="15873" max="15873" width="37.5703125" style="5" customWidth="1"/>
    <col min="15874" max="15875" width="16.140625" style="5" customWidth="1"/>
    <col min="15876" max="15876" width="36.42578125" style="5" customWidth="1"/>
    <col min="16129" max="16129" width="37.5703125" style="5" customWidth="1"/>
    <col min="16130" max="16131" width="16.140625" style="5" customWidth="1"/>
    <col min="16132" max="16132" width="36.42578125" style="5" customWidth="1"/>
  </cols>
  <sheetData>
    <row r="1" spans="1:4" s="164" customFormat="1" ht="15" customHeight="1" x14ac:dyDescent="0.25">
      <c r="A1" s="227" t="s">
        <v>230</v>
      </c>
      <c r="B1" s="227"/>
      <c r="C1" s="227"/>
      <c r="D1" s="163"/>
    </row>
    <row r="2" spans="1:4" s="164" customFormat="1" ht="15.75" x14ac:dyDescent="0.25">
      <c r="A2" s="227"/>
      <c r="B2" s="227"/>
      <c r="C2" s="227"/>
      <c r="D2" s="163"/>
    </row>
    <row r="3" spans="1:4" x14ac:dyDescent="0.25">
      <c r="A3" s="165"/>
      <c r="B3" s="166"/>
      <c r="C3" s="167"/>
      <c r="D3" s="163"/>
    </row>
    <row r="4" spans="1:4" ht="15" customHeight="1" x14ac:dyDescent="0.25">
      <c r="A4" s="228" t="s">
        <v>185</v>
      </c>
      <c r="B4" s="228"/>
      <c r="C4" s="168">
        <v>2.07E-2</v>
      </c>
      <c r="D4" s="163"/>
    </row>
    <row r="5" spans="1:4" ht="15" customHeight="1" x14ac:dyDescent="0.25">
      <c r="A5" s="228" t="s">
        <v>186</v>
      </c>
      <c r="B5" s="228"/>
      <c r="C5" s="169">
        <v>3.5000000000000003E-2</v>
      </c>
      <c r="D5" s="163"/>
    </row>
    <row r="6" spans="1:4" ht="15" customHeight="1" x14ac:dyDescent="0.25">
      <c r="A6" s="228" t="s">
        <v>187</v>
      </c>
      <c r="B6" s="228"/>
      <c r="C6" s="169">
        <v>1.23E-2</v>
      </c>
      <c r="D6" s="163"/>
    </row>
    <row r="7" spans="1:4" ht="15" customHeight="1" x14ac:dyDescent="0.25">
      <c r="A7" s="228" t="s">
        <v>188</v>
      </c>
      <c r="B7" s="228"/>
      <c r="C7" s="169">
        <v>0.06</v>
      </c>
      <c r="D7" s="163"/>
    </row>
    <row r="8" spans="1:4" ht="15" customHeight="1" x14ac:dyDescent="0.25">
      <c r="A8" s="228" t="s">
        <v>189</v>
      </c>
      <c r="B8" s="170" t="s">
        <v>190</v>
      </c>
      <c r="C8" s="169">
        <v>0.03</v>
      </c>
      <c r="D8" s="163"/>
    </row>
    <row r="9" spans="1:4" x14ac:dyDescent="0.25">
      <c r="A9" s="228"/>
      <c r="B9" s="170" t="s">
        <v>191</v>
      </c>
      <c r="C9" s="169">
        <v>0</v>
      </c>
      <c r="D9" s="163"/>
    </row>
    <row r="10" spans="1:4" x14ac:dyDescent="0.25">
      <c r="A10" s="228"/>
      <c r="B10" s="170" t="s">
        <v>192</v>
      </c>
      <c r="C10" s="169">
        <v>6.4999999999999997E-3</v>
      </c>
      <c r="D10" s="163"/>
    </row>
    <row r="11" spans="1:4" x14ac:dyDescent="0.25">
      <c r="A11" s="228"/>
      <c r="B11" s="170" t="s">
        <v>193</v>
      </c>
      <c r="C11" s="171">
        <f>C62</f>
        <v>2.1945442175544998E-2</v>
      </c>
      <c r="D11" s="163"/>
    </row>
    <row r="12" spans="1:4" x14ac:dyDescent="0.25">
      <c r="A12" s="165"/>
      <c r="B12" s="166"/>
      <c r="C12" s="167"/>
      <c r="D12" s="163"/>
    </row>
    <row r="13" spans="1:4" x14ac:dyDescent="0.25">
      <c r="A13" s="165"/>
      <c r="B13" s="166"/>
      <c r="C13" s="167"/>
      <c r="D13" s="163"/>
    </row>
    <row r="14" spans="1:4" ht="26.25" x14ac:dyDescent="0.25">
      <c r="A14" s="172" t="s">
        <v>194</v>
      </c>
      <c r="B14" s="229">
        <f>C4+C5</f>
        <v>5.57E-2</v>
      </c>
      <c r="C14" s="229"/>
      <c r="D14" s="163"/>
    </row>
    <row r="15" spans="1:4" x14ac:dyDescent="0.25">
      <c r="A15" s="172" t="s">
        <v>195</v>
      </c>
      <c r="B15" s="229">
        <f>C6</f>
        <v>1.23E-2</v>
      </c>
      <c r="C15" s="229"/>
      <c r="D15" s="163"/>
    </row>
    <row r="16" spans="1:4" x14ac:dyDescent="0.25">
      <c r="A16" s="172" t="s">
        <v>196</v>
      </c>
      <c r="B16" s="229">
        <f>C7</f>
        <v>0.06</v>
      </c>
      <c r="C16" s="229"/>
      <c r="D16" s="163"/>
    </row>
    <row r="17" spans="1:3" x14ac:dyDescent="0.25">
      <c r="A17" s="172" t="s">
        <v>197</v>
      </c>
      <c r="B17" s="229">
        <f>SUM(C8:C11)</f>
        <v>5.8445442175544995E-2</v>
      </c>
      <c r="C17" s="229"/>
    </row>
    <row r="18" spans="1:3" x14ac:dyDescent="0.25">
      <c r="A18" s="165"/>
      <c r="B18" s="166"/>
      <c r="C18" s="167"/>
    </row>
    <row r="19" spans="1:3" x14ac:dyDescent="0.25">
      <c r="A19" s="165"/>
      <c r="B19" s="166"/>
      <c r="C19" s="167"/>
    </row>
    <row r="20" spans="1:3" x14ac:dyDescent="0.25">
      <c r="A20" s="165"/>
      <c r="B20" s="166"/>
      <c r="C20" s="167"/>
    </row>
    <row r="21" spans="1:3" x14ac:dyDescent="0.25">
      <c r="A21" s="173" t="s">
        <v>198</v>
      </c>
      <c r="B21" s="174">
        <f>((1+B14)*(1+B15)*(1+B16)/(1-B17))-1</f>
        <v>0.20312328923078971</v>
      </c>
      <c r="C21" s="167"/>
    </row>
    <row r="22" spans="1:3" x14ac:dyDescent="0.25">
      <c r="A22" s="175"/>
      <c r="B22" s="176"/>
      <c r="C22" s="177"/>
    </row>
    <row r="23" spans="1:3" hidden="1" x14ac:dyDescent="0.25">
      <c r="A23" s="163"/>
      <c r="B23" s="163"/>
      <c r="C23" s="163"/>
    </row>
    <row r="24" spans="1:3" hidden="1" x14ac:dyDescent="0.25">
      <c r="A24" s="163"/>
      <c r="B24" s="163"/>
      <c r="C24" s="163"/>
    </row>
    <row r="25" spans="1:3" hidden="1" x14ac:dyDescent="0.25">
      <c r="A25" s="178" t="s">
        <v>199</v>
      </c>
      <c r="B25" s="178" t="s">
        <v>200</v>
      </c>
      <c r="C25" s="179" t="s">
        <v>60</v>
      </c>
    </row>
    <row r="26" spans="1:3" hidden="1" x14ac:dyDescent="0.25">
      <c r="A26" s="180"/>
      <c r="B26" s="180"/>
      <c r="C26" s="181"/>
    </row>
    <row r="27" spans="1:3" hidden="1" x14ac:dyDescent="0.25">
      <c r="A27" s="182">
        <v>3048013.44</v>
      </c>
      <c r="B27" s="182">
        <v>1005512.64</v>
      </c>
      <c r="C27" s="183">
        <f>A27+B27</f>
        <v>4053526.08</v>
      </c>
    </row>
    <row r="28" spans="1:3" hidden="1" x14ac:dyDescent="0.25">
      <c r="A28" s="180"/>
      <c r="B28" s="180"/>
      <c r="C28" s="181"/>
    </row>
    <row r="29" spans="1:3" hidden="1" x14ac:dyDescent="0.25">
      <c r="A29" s="182">
        <v>499962.91</v>
      </c>
      <c r="B29" s="182">
        <v>240876.87</v>
      </c>
      <c r="C29" s="183">
        <v>149800.7366</v>
      </c>
    </row>
    <row r="30" spans="1:3" hidden="1" x14ac:dyDescent="0.25">
      <c r="A30" s="180"/>
      <c r="B30" s="180"/>
      <c r="C30" s="181"/>
    </row>
    <row r="31" spans="1:3" hidden="1" x14ac:dyDescent="0.25">
      <c r="A31" s="180"/>
      <c r="B31" s="180"/>
      <c r="C31" s="181"/>
    </row>
    <row r="32" spans="1:3" hidden="1" x14ac:dyDescent="0.25">
      <c r="A32" s="184">
        <f>A27+A29</f>
        <v>3547976.35</v>
      </c>
      <c r="B32" s="184">
        <f>B27+B29</f>
        <v>1246389.51</v>
      </c>
      <c r="C32" s="185">
        <f>C27+C29</f>
        <v>4203326.8166000005</v>
      </c>
    </row>
    <row r="33" spans="1:3" hidden="1" x14ac:dyDescent="0.25">
      <c r="A33" s="186"/>
      <c r="B33" s="186"/>
      <c r="C33" s="187"/>
    </row>
    <row r="34" spans="1:3" hidden="1" x14ac:dyDescent="0.25">
      <c r="A34" s="188" t="s">
        <v>201</v>
      </c>
      <c r="B34" s="189">
        <f>B32*0.03</f>
        <v>37391.685299999997</v>
      </c>
      <c r="C34" s="190">
        <f>B34/C32</f>
        <v>8.8957359090734451E-3</v>
      </c>
    </row>
    <row r="35" spans="1:3" hidden="1" x14ac:dyDescent="0.25">
      <c r="A35" s="163"/>
      <c r="B35" s="163"/>
      <c r="C35" s="163"/>
    </row>
    <row r="36" spans="1:3" hidden="1" x14ac:dyDescent="0.25">
      <c r="A36" s="163"/>
      <c r="B36" s="163"/>
      <c r="C36" s="163"/>
    </row>
    <row r="37" spans="1:3" hidden="1" x14ac:dyDescent="0.25">
      <c r="A37" s="163"/>
      <c r="B37" s="163"/>
      <c r="C37" s="163"/>
    </row>
    <row r="38" spans="1:3" x14ac:dyDescent="0.25">
      <c r="A38" s="163"/>
      <c r="B38" s="163"/>
      <c r="C38" s="163"/>
    </row>
    <row r="39" spans="1:3" hidden="1" x14ac:dyDescent="0.25">
      <c r="A39" s="163"/>
      <c r="B39" s="163"/>
      <c r="C39" s="163"/>
    </row>
    <row r="40" spans="1:3" hidden="1" x14ac:dyDescent="0.25">
      <c r="A40" s="163"/>
      <c r="B40" s="163"/>
      <c r="C40" s="163"/>
    </row>
    <row r="41" spans="1:3" hidden="1" x14ac:dyDescent="0.25">
      <c r="A41" s="163"/>
      <c r="B41" s="163"/>
      <c r="C41" s="163"/>
    </row>
    <row r="42" spans="1:3" hidden="1" x14ac:dyDescent="0.25">
      <c r="A42" s="163"/>
      <c r="B42" s="163"/>
      <c r="C42" s="163"/>
    </row>
    <row r="43" spans="1:3" hidden="1" x14ac:dyDescent="0.25">
      <c r="A43" s="191" t="e">
        <f>#REF!</f>
        <v>#REF!</v>
      </c>
      <c r="B43" s="191" t="e">
        <f>#REF!</f>
        <v>#REF!</v>
      </c>
      <c r="C43" s="191" t="e">
        <f>#REF!</f>
        <v>#REF!</v>
      </c>
    </row>
    <row r="44" spans="1:3" hidden="1" x14ac:dyDescent="0.25">
      <c r="A44" s="191">
        <v>386882.52</v>
      </c>
      <c r="B44" s="191">
        <v>281762.02</v>
      </c>
      <c r="C44" s="191">
        <v>668644.54</v>
      </c>
    </row>
    <row r="45" spans="1:3" hidden="1" x14ac:dyDescent="0.25">
      <c r="A45" s="163"/>
      <c r="B45" s="163"/>
      <c r="C45" s="163"/>
    </row>
    <row r="46" spans="1:3" hidden="1" x14ac:dyDescent="0.25">
      <c r="A46" s="191" t="e">
        <f>SUM(A43:A45)</f>
        <v>#REF!</v>
      </c>
      <c r="B46" s="191" t="e">
        <f>SUM(B43:B45)</f>
        <v>#REF!</v>
      </c>
      <c r="C46" s="191" t="e">
        <f>SUM(C43:C45)</f>
        <v>#REF!</v>
      </c>
    </row>
    <row r="47" spans="1:3" hidden="1" x14ac:dyDescent="0.25">
      <c r="A47" s="163"/>
      <c r="B47" s="163"/>
      <c r="C47" s="163"/>
    </row>
    <row r="48" spans="1:3" hidden="1" x14ac:dyDescent="0.25">
      <c r="A48" s="163"/>
      <c r="B48" s="163" t="e">
        <f>B46*0.03</f>
        <v>#REF!</v>
      </c>
      <c r="C48" s="190" t="e">
        <f>B48/C46</f>
        <v>#REF!</v>
      </c>
    </row>
    <row r="49" spans="1:3" hidden="1" x14ac:dyDescent="0.25">
      <c r="A49" s="163"/>
      <c r="B49" s="163"/>
      <c r="C49" s="163"/>
    </row>
    <row r="50" spans="1:3" hidden="1" x14ac:dyDescent="0.25">
      <c r="A50" s="163">
        <v>1815164.9540830001</v>
      </c>
      <c r="B50" s="163">
        <v>1338490.87346383</v>
      </c>
      <c r="C50" s="163">
        <v>3153655.8275468298</v>
      </c>
    </row>
    <row r="51" spans="1:3" hidden="1" x14ac:dyDescent="0.25">
      <c r="A51" s="163">
        <v>416732.12270000001</v>
      </c>
      <c r="B51" s="163">
        <v>286852.4387</v>
      </c>
      <c r="C51" s="163">
        <v>703584.56140000001</v>
      </c>
    </row>
    <row r="52" spans="1:3" hidden="1" x14ac:dyDescent="0.25">
      <c r="A52" s="163">
        <v>204334.73</v>
      </c>
      <c r="B52" s="163">
        <v>33185.18</v>
      </c>
      <c r="C52" s="163">
        <v>237519.91</v>
      </c>
    </row>
    <row r="53" spans="1:3" hidden="1" x14ac:dyDescent="0.25">
      <c r="A53" s="163">
        <f>SUM(A50:A52)</f>
        <v>2436231.806783</v>
      </c>
      <c r="B53" s="163">
        <f>SUM(B50:B52)</f>
        <v>1658528.49216383</v>
      </c>
      <c r="C53" s="163">
        <f>SUM(C50:C52)</f>
        <v>4094760.29894683</v>
      </c>
    </row>
    <row r="54" spans="1:3" hidden="1" x14ac:dyDescent="0.25">
      <c r="A54" s="190">
        <f>A53/C53</f>
        <v>0.59496322835053306</v>
      </c>
      <c r="B54" s="190">
        <f>B53/C53</f>
        <v>0.40503677164946689</v>
      </c>
      <c r="C54" s="163"/>
    </row>
    <row r="55" spans="1:3" hidden="1" x14ac:dyDescent="0.25">
      <c r="A55" s="163"/>
      <c r="B55" s="163">
        <f>B53*0.03</f>
        <v>49755.854764914897</v>
      </c>
      <c r="C55" s="190">
        <f>B55/C53</f>
        <v>1.2151103149484007E-2</v>
      </c>
    </row>
    <row r="56" spans="1:3" hidden="1" x14ac:dyDescent="0.25">
      <c r="A56" s="163"/>
      <c r="B56" s="163"/>
      <c r="C56" s="163"/>
    </row>
    <row r="57" spans="1:3" hidden="1" x14ac:dyDescent="0.25">
      <c r="A57" s="163"/>
      <c r="B57" s="163"/>
      <c r="C57" s="163"/>
    </row>
    <row r="58" spans="1:3" x14ac:dyDescent="0.25">
      <c r="A58" s="192" t="s">
        <v>202</v>
      </c>
    </row>
    <row r="60" spans="1:3" x14ac:dyDescent="0.25">
      <c r="A60" s="26" t="s">
        <v>199</v>
      </c>
      <c r="B60" s="26" t="s">
        <v>200</v>
      </c>
      <c r="C60" s="26" t="s">
        <v>60</v>
      </c>
    </row>
    <row r="61" spans="1:3" x14ac:dyDescent="0.25">
      <c r="A61" s="193">
        <f>'LOTE 03 - SETORIAL CURITIBA'!L139</f>
        <v>220021.28433333337</v>
      </c>
      <c r="B61" s="193">
        <f>'LOTE 03 - SETORIAL CURITIBA'!M139</f>
        <v>172109.80130000002</v>
      </c>
      <c r="C61" s="193">
        <f>A61+B61</f>
        <v>392131.08563333342</v>
      </c>
    </row>
    <row r="62" spans="1:3" x14ac:dyDescent="0.25">
      <c r="A62" s="194"/>
      <c r="B62" s="194">
        <f>(B61*5)/100</f>
        <v>8605.4900650000018</v>
      </c>
      <c r="C62" s="195">
        <f>B62/C61</f>
        <v>2.1945442175544998E-2</v>
      </c>
    </row>
    <row r="63" spans="1:3" x14ac:dyDescent="0.25">
      <c r="A63" s="26"/>
      <c r="B63" s="26"/>
      <c r="C63" s="26"/>
    </row>
    <row r="64" spans="1:3" x14ac:dyDescent="0.25">
      <c r="A64" s="162"/>
      <c r="B64" s="162"/>
      <c r="C64" s="162"/>
    </row>
  </sheetData>
  <mergeCells count="10">
    <mergeCell ref="A8:A11"/>
    <mergeCell ref="B14:C14"/>
    <mergeCell ref="B15:C15"/>
    <mergeCell ref="B16:C16"/>
    <mergeCell ref="B17:C17"/>
    <mergeCell ref="A1:C2"/>
    <mergeCell ref="A4:B4"/>
    <mergeCell ref="A5:B5"/>
    <mergeCell ref="A6:B6"/>
    <mergeCell ref="A7:B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="85" zoomScaleNormal="85" workbookViewId="0">
      <selection activeCell="J7" sqref="J7"/>
    </sheetView>
  </sheetViews>
  <sheetFormatPr defaultColWidth="8.7109375" defaultRowHeight="15" x14ac:dyDescent="0.25"/>
  <cols>
    <col min="1" max="1" width="28.85546875" style="5" customWidth="1"/>
    <col min="2" max="2" width="41.85546875" style="5" customWidth="1"/>
    <col min="3" max="3" width="20.85546875" style="5" customWidth="1"/>
    <col min="4" max="4" width="21.42578125" style="5" customWidth="1"/>
    <col min="5" max="5" width="20.85546875" style="5" customWidth="1"/>
    <col min="6" max="6" width="15" style="5" customWidth="1"/>
    <col min="7" max="7" width="20.85546875" style="5" customWidth="1"/>
    <col min="8" max="8" width="14.85546875" style="5" customWidth="1"/>
    <col min="9" max="9" width="12.85546875" style="5" customWidth="1"/>
    <col min="10" max="10" width="14.85546875" style="5" customWidth="1"/>
    <col min="11" max="11" width="15.42578125" style="5" customWidth="1"/>
  </cols>
  <sheetData>
    <row r="1" spans="1:11" ht="48.75" customHeight="1" x14ac:dyDescent="0.25">
      <c r="A1" s="230" t="s">
        <v>229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3" spans="1:11" ht="15" customHeight="1" x14ac:dyDescent="0.25">
      <c r="A3" s="231" t="s">
        <v>1</v>
      </c>
      <c r="B3" s="231" t="s">
        <v>2</v>
      </c>
      <c r="C3" s="231" t="s">
        <v>203</v>
      </c>
      <c r="D3" s="231"/>
      <c r="E3" s="231" t="s">
        <v>204</v>
      </c>
      <c r="F3" s="231"/>
      <c r="G3" s="231" t="s">
        <v>205</v>
      </c>
      <c r="H3" s="231"/>
      <c r="I3" s="232" t="s">
        <v>206</v>
      </c>
      <c r="J3" s="232" t="s">
        <v>207</v>
      </c>
      <c r="K3" s="231" t="s">
        <v>208</v>
      </c>
    </row>
    <row r="4" spans="1:11" x14ac:dyDescent="0.25">
      <c r="A4" s="231" t="s">
        <v>1</v>
      </c>
      <c r="B4" s="231"/>
      <c r="C4" s="196" t="s">
        <v>209</v>
      </c>
      <c r="D4" s="196" t="s">
        <v>76</v>
      </c>
      <c r="E4" s="196" t="s">
        <v>209</v>
      </c>
      <c r="F4" s="196" t="s">
        <v>76</v>
      </c>
      <c r="G4" s="196" t="s">
        <v>209</v>
      </c>
      <c r="H4" s="196" t="s">
        <v>76</v>
      </c>
      <c r="I4" s="232"/>
      <c r="J4" s="232"/>
      <c r="K4" s="231"/>
    </row>
    <row r="5" spans="1:11" ht="39.75" customHeight="1" x14ac:dyDescent="0.25">
      <c r="A5" s="197">
        <v>1</v>
      </c>
      <c r="B5" s="198" t="s">
        <v>47</v>
      </c>
      <c r="C5" s="199" t="s">
        <v>210</v>
      </c>
      <c r="D5" s="200">
        <f>450+150</f>
        <v>600</v>
      </c>
      <c r="E5" s="199" t="s">
        <v>211</v>
      </c>
      <c r="F5" s="200">
        <f>350+90</f>
        <v>440</v>
      </c>
      <c r="G5" s="199" t="s">
        <v>212</v>
      </c>
      <c r="H5" s="200">
        <f>380+150</f>
        <v>530</v>
      </c>
      <c r="I5" s="194">
        <f t="shared" ref="I5:I11" si="0">AVERAGE(D5,F5,H5)</f>
        <v>523.33333333333337</v>
      </c>
      <c r="J5" s="194">
        <f t="shared" ref="J5:J11" si="1">MEDIAN(D5,F5,H5)</f>
        <v>530</v>
      </c>
      <c r="K5" s="201">
        <f t="shared" ref="K5:K11" si="2">MIN(I5:J5)</f>
        <v>523.33333333333337</v>
      </c>
    </row>
    <row r="6" spans="1:11" ht="39.75" customHeight="1" x14ac:dyDescent="0.25">
      <c r="A6" s="197">
        <v>2</v>
      </c>
      <c r="B6" s="198" t="s">
        <v>51</v>
      </c>
      <c r="C6" s="199" t="s">
        <v>210</v>
      </c>
      <c r="D6" s="200">
        <f>600+150</f>
        <v>750</v>
      </c>
      <c r="E6" s="199" t="s">
        <v>211</v>
      </c>
      <c r="F6" s="200">
        <f>480+90</f>
        <v>570</v>
      </c>
      <c r="G6" s="197" t="s">
        <v>212</v>
      </c>
      <c r="H6" s="200">
        <f>500+150</f>
        <v>650</v>
      </c>
      <c r="I6" s="194">
        <f t="shared" si="0"/>
        <v>656.66666666666663</v>
      </c>
      <c r="J6" s="194">
        <f t="shared" si="1"/>
        <v>650</v>
      </c>
      <c r="K6" s="201">
        <f t="shared" si="2"/>
        <v>650</v>
      </c>
    </row>
    <row r="7" spans="1:11" ht="150" x14ac:dyDescent="0.25">
      <c r="A7" s="197">
        <v>3</v>
      </c>
      <c r="B7" s="198" t="s">
        <v>97</v>
      </c>
      <c r="C7" s="202" t="s">
        <v>213</v>
      </c>
      <c r="D7" s="200">
        <v>669.26</v>
      </c>
      <c r="E7" s="202" t="s">
        <v>214</v>
      </c>
      <c r="F7" s="200">
        <v>899.5</v>
      </c>
      <c r="G7" s="202" t="s">
        <v>215</v>
      </c>
      <c r="H7" s="200">
        <v>1139.6400000000001</v>
      </c>
      <c r="I7" s="203">
        <f t="shared" si="0"/>
        <v>902.80000000000007</v>
      </c>
      <c r="J7" s="203">
        <f t="shared" si="1"/>
        <v>899.5</v>
      </c>
      <c r="K7" s="204">
        <f t="shared" si="2"/>
        <v>899.5</v>
      </c>
    </row>
    <row r="8" spans="1:11" ht="60" customHeight="1" x14ac:dyDescent="0.25">
      <c r="A8" s="197">
        <v>4</v>
      </c>
      <c r="B8" s="198" t="s">
        <v>216</v>
      </c>
      <c r="C8" s="202" t="s">
        <v>217</v>
      </c>
      <c r="D8" s="200">
        <f>475.02/11.3</f>
        <v>42.037168141592915</v>
      </c>
      <c r="E8" s="202" t="s">
        <v>218</v>
      </c>
      <c r="F8" s="200">
        <f>660.56/11.3</f>
        <v>58.456637168141583</v>
      </c>
      <c r="G8" s="202" t="s">
        <v>219</v>
      </c>
      <c r="H8" s="200">
        <f>815.75/11.3</f>
        <v>72.190265486725664</v>
      </c>
      <c r="I8" s="203">
        <f t="shared" si="0"/>
        <v>57.561356932153387</v>
      </c>
      <c r="J8" s="203">
        <f t="shared" si="1"/>
        <v>58.456637168141583</v>
      </c>
      <c r="K8" s="204">
        <f t="shared" si="2"/>
        <v>57.561356932153387</v>
      </c>
    </row>
    <row r="9" spans="1:11" ht="60" customHeight="1" x14ac:dyDescent="0.25">
      <c r="A9" s="197">
        <v>5</v>
      </c>
      <c r="B9" s="198" t="s">
        <v>99</v>
      </c>
      <c r="C9" s="202" t="s">
        <v>220</v>
      </c>
      <c r="D9" s="200">
        <f>2.52/2</f>
        <v>1.26</v>
      </c>
      <c r="E9" s="202" t="s">
        <v>221</v>
      </c>
      <c r="F9" s="200">
        <f>4.46/2</f>
        <v>2.23</v>
      </c>
      <c r="G9" s="202" t="s">
        <v>222</v>
      </c>
      <c r="H9" s="200">
        <f>3.9/2</f>
        <v>1.95</v>
      </c>
      <c r="I9" s="203">
        <f t="shared" si="0"/>
        <v>1.8133333333333335</v>
      </c>
      <c r="J9" s="203">
        <f t="shared" si="1"/>
        <v>1.95</v>
      </c>
      <c r="K9" s="204">
        <f t="shared" si="2"/>
        <v>1.8133333333333335</v>
      </c>
    </row>
    <row r="10" spans="1:11" ht="60" customHeight="1" x14ac:dyDescent="0.25">
      <c r="A10" s="197">
        <v>6</v>
      </c>
      <c r="B10" s="198" t="s">
        <v>100</v>
      </c>
      <c r="C10" s="202" t="s">
        <v>223</v>
      </c>
      <c r="D10" s="200">
        <f>2.88/2</f>
        <v>1.44</v>
      </c>
      <c r="E10" s="202" t="s">
        <v>224</v>
      </c>
      <c r="F10" s="200">
        <f>5.8/2</f>
        <v>2.9</v>
      </c>
      <c r="G10" s="202" t="s">
        <v>225</v>
      </c>
      <c r="H10" s="200">
        <f>2.42/2</f>
        <v>1.21</v>
      </c>
      <c r="I10" s="203">
        <f t="shared" si="0"/>
        <v>1.8499999999999999</v>
      </c>
      <c r="J10" s="203">
        <f t="shared" si="1"/>
        <v>1.44</v>
      </c>
      <c r="K10" s="204">
        <f t="shared" si="2"/>
        <v>1.44</v>
      </c>
    </row>
    <row r="11" spans="1:11" ht="68.25" customHeight="1" x14ac:dyDescent="0.25">
      <c r="A11" s="197">
        <v>7</v>
      </c>
      <c r="B11" s="198" t="s">
        <v>77</v>
      </c>
      <c r="C11" s="202" t="s">
        <v>226</v>
      </c>
      <c r="D11" s="200">
        <v>8.8000000000000007</v>
      </c>
      <c r="E11" s="202" t="s">
        <v>227</v>
      </c>
      <c r="F11" s="200">
        <v>9.5</v>
      </c>
      <c r="G11" s="202" t="s">
        <v>228</v>
      </c>
      <c r="H11" s="200">
        <v>6.62</v>
      </c>
      <c r="I11" s="203">
        <f t="shared" si="0"/>
        <v>8.3066666666666666</v>
      </c>
      <c r="J11" s="203">
        <f t="shared" si="1"/>
        <v>8.8000000000000007</v>
      </c>
      <c r="K11" s="204">
        <f t="shared" si="2"/>
        <v>8.3066666666666666</v>
      </c>
    </row>
  </sheetData>
  <mergeCells count="9">
    <mergeCell ref="A1:K1"/>
    <mergeCell ref="A3:A4"/>
    <mergeCell ref="B3:B4"/>
    <mergeCell ref="C3:D3"/>
    <mergeCell ref="E3:F3"/>
    <mergeCell ref="G3:H3"/>
    <mergeCell ref="I3:I4"/>
    <mergeCell ref="J3:J4"/>
    <mergeCell ref="K3:K4"/>
  </mergeCells>
  <pageMargins left="0.51180555555555596" right="0.51180555555555596" top="0.78749999999999998" bottom="0.78749999999999998" header="0.511811023622047" footer="0.511811023622047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abc-servicos</vt:lpstr>
      <vt:lpstr>abc-insumos</vt:lpstr>
      <vt:lpstr>ENDEREÇOS</vt:lpstr>
      <vt:lpstr>LOTE 03 - SETORIAL CURITIBA</vt:lpstr>
      <vt:lpstr>BDI CURITIBA</vt:lpstr>
      <vt:lpstr>MAPA DE COTAÇÕES</vt:lpstr>
      <vt:lpstr>'abc-insumos'!Area_de_impressao</vt:lpstr>
      <vt:lpstr>'abc-servicos'!Area_de_impressao</vt:lpstr>
      <vt:lpstr>ENDEREÇOS!Area_de_impressao</vt:lpstr>
      <vt:lpstr>'LOTE 03 - SETORIAL CURITIBA'!Area_de_impressao</vt:lpstr>
      <vt:lpstr>'MAPA DE COTAÇÕES'!Area_de_impressao</vt:lpstr>
      <vt:lpstr>'LOTE 03 - SETORIAL CURITIBA'!Titulos_de_impressao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Kuze</dc:creator>
  <dc:description/>
  <cp:lastModifiedBy>Carolina Ragni Da Silva Pacheco</cp:lastModifiedBy>
  <cp:revision>10</cp:revision>
  <cp:lastPrinted>2024-07-02T14:28:48Z</cp:lastPrinted>
  <dcterms:created xsi:type="dcterms:W3CDTF">2020-10-19T18:08:13Z</dcterms:created>
  <dcterms:modified xsi:type="dcterms:W3CDTF">2024-08-07T15:26:00Z</dcterms:modified>
  <dc:language>pt-BR</dc:language>
</cp:coreProperties>
</file>